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KINGSTON/2019 Hourly Train  Operating Cost/"/>
    </mc:Choice>
  </mc:AlternateContent>
  <xr:revisionPtr revIDLastSave="0" documentId="13_ncr:1_{8DDAE379-DC2E-C944-A669-6166A7C247A7}" xr6:coauthVersionLast="47" xr6:coauthVersionMax="47" xr10:uidLastSave="{00000000-0000-0000-0000-000000000000}"/>
  <bookViews>
    <workbookView xWindow="0" yWindow="500" windowWidth="40960" windowHeight="19220" tabRatio="500" xr2:uid="{00000000-000D-0000-FFFF-FFFF00000000}"/>
  </bookViews>
  <sheets>
    <sheet name="AllTrainTypesTotal19" sheetId="17" r:id="rId1"/>
    <sheet name="Basic Train Data19" sheetId="18" r:id="rId2"/>
    <sheet name="Locomotives19" sheetId="11" r:id="rId3"/>
    <sheet name="FrtEquip19" sheetId="12" r:id="rId4"/>
    <sheet name="Crew19" sheetId="13" r:id="rId5"/>
    <sheet name="LocomotiveData" sheetId="14" r:id="rId6"/>
    <sheet name="FreightEquipData" sheetId="15" r:id="rId7"/>
    <sheet name="CrewData" sheetId="16" r:id="rId8"/>
    <sheet name="Avg Fuel Consumption" sheetId="2" r:id="rId9"/>
  </sheets>
  <definedNames>
    <definedName name="_xlnm.Print_Titles" localSheetId="0">AllTrainTypesTotal19!$1:$7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7" l="1"/>
  <c r="E15" i="18"/>
  <c r="H13" i="18"/>
  <c r="H12" i="18"/>
  <c r="H11" i="18"/>
  <c r="K14" i="18"/>
  <c r="E13" i="18"/>
  <c r="E11" i="18"/>
  <c r="E21" i="18" s="1"/>
  <c r="D13" i="18"/>
  <c r="S13" i="18" s="1"/>
  <c r="D11" i="18"/>
  <c r="C13" i="18"/>
  <c r="C12" i="18"/>
  <c r="C11" i="18"/>
  <c r="B13" i="18"/>
  <c r="B12" i="18"/>
  <c r="B11" i="18"/>
  <c r="L14" i="18"/>
  <c r="E12" i="18"/>
  <c r="D12" i="18"/>
  <c r="AG4" i="14"/>
  <c r="J26" i="11" s="1"/>
  <c r="FV61" i="15"/>
  <c r="FV60" i="15"/>
  <c r="FV59" i="15"/>
  <c r="FV55" i="15"/>
  <c r="FV54" i="15"/>
  <c r="FV50" i="15"/>
  <c r="FV49" i="15"/>
  <c r="FV41" i="15"/>
  <c r="FV40" i="15"/>
  <c r="FV39" i="15"/>
  <c r="FV35" i="15"/>
  <c r="FV34" i="15"/>
  <c r="FV30" i="15"/>
  <c r="FV29" i="15"/>
  <c r="FV25" i="15"/>
  <c r="FV24" i="15"/>
  <c r="FV20" i="15"/>
  <c r="FV19" i="15"/>
  <c r="FV5" i="15"/>
  <c r="FV6" i="15"/>
  <c r="FV7" i="15"/>
  <c r="FV8" i="15"/>
  <c r="FV9" i="15"/>
  <c r="FV10" i="15"/>
  <c r="FV4" i="15"/>
  <c r="FV396" i="15"/>
  <c r="FR396" i="15"/>
  <c r="FR398" i="15" s="1"/>
  <c r="FM396" i="15"/>
  <c r="FL396" i="15"/>
  <c r="FV391" i="15"/>
  <c r="FR391" i="15"/>
  <c r="FQ391" i="15" s="1"/>
  <c r="FT391" i="15" s="1"/>
  <c r="FU391" i="15" s="1"/>
  <c r="FM391" i="15"/>
  <c r="FL391" i="15"/>
  <c r="FR304" i="15"/>
  <c r="FQ304" i="15" s="1"/>
  <c r="FT304" i="15" s="1"/>
  <c r="FM304" i="15"/>
  <c r="FL304" i="15"/>
  <c r="FV306" i="15"/>
  <c r="FT306" i="15"/>
  <c r="FU306" i="15" s="1"/>
  <c r="FV308" i="15"/>
  <c r="FT308" i="15"/>
  <c r="FU308" i="15" s="1"/>
  <c r="FR314" i="15"/>
  <c r="FM314" i="15"/>
  <c r="FL314" i="15"/>
  <c r="FR297" i="15"/>
  <c r="FM297" i="15"/>
  <c r="FL297" i="15"/>
  <c r="FR291" i="15"/>
  <c r="FM291" i="15"/>
  <c r="FL291" i="15"/>
  <c r="FR285" i="15"/>
  <c r="FM285" i="15"/>
  <c r="FL285" i="15"/>
  <c r="FR274" i="15"/>
  <c r="FM274" i="15"/>
  <c r="FL274" i="15"/>
  <c r="FR242" i="15"/>
  <c r="FM242" i="15"/>
  <c r="FL242" i="15"/>
  <c r="FR226" i="15"/>
  <c r="FM226" i="15"/>
  <c r="FL226" i="15"/>
  <c r="FR157" i="15"/>
  <c r="FM157" i="15"/>
  <c r="FL157" i="15"/>
  <c r="FR138" i="15"/>
  <c r="FV314" i="15" l="1"/>
  <c r="FQ396" i="15"/>
  <c r="FT396" i="15" s="1"/>
  <c r="FU396" i="15" s="1"/>
  <c r="FV304" i="15"/>
  <c r="Q11" i="18"/>
  <c r="Q12" i="18"/>
  <c r="Q13" i="18"/>
  <c r="N13" i="18"/>
  <c r="S11" i="18"/>
  <c r="S12" i="18"/>
  <c r="N12" i="18"/>
  <c r="N11" i="18"/>
  <c r="E14" i="18"/>
  <c r="C14" i="18"/>
  <c r="E19" i="18" s="1"/>
  <c r="H14" i="18"/>
  <c r="M14" i="18"/>
  <c r="M12" i="18"/>
  <c r="B14" i="18"/>
  <c r="D14" i="18"/>
  <c r="FU304" i="15"/>
  <c r="FQ314" i="15"/>
  <c r="FT314" i="15" s="1"/>
  <c r="FU314" i="15" s="1"/>
  <c r="FV291" i="15"/>
  <c r="FQ291" i="15"/>
  <c r="FT291" i="15" s="1"/>
  <c r="FV297" i="15"/>
  <c r="FQ297" i="15"/>
  <c r="FT297" i="15" s="1"/>
  <c r="FU297" i="15" s="1"/>
  <c r="FV285" i="15"/>
  <c r="FQ285" i="15"/>
  <c r="FT285" i="15" s="1"/>
  <c r="FV242" i="15"/>
  <c r="FQ242" i="15"/>
  <c r="FT242" i="15" s="1"/>
  <c r="FV274" i="15"/>
  <c r="FQ274" i="15"/>
  <c r="FT274" i="15" s="1"/>
  <c r="FV226" i="15"/>
  <c r="FQ226" i="15"/>
  <c r="FT226" i="15" s="1"/>
  <c r="FV157" i="15"/>
  <c r="FQ157" i="15"/>
  <c r="FT157" i="15" s="1"/>
  <c r="FM138" i="15"/>
  <c r="FM398" i="15" s="1"/>
  <c r="FL138" i="15"/>
  <c r="FL398" i="15" s="1"/>
  <c r="FR62" i="15"/>
  <c r="FM62" i="15"/>
  <c r="FL62" i="15"/>
  <c r="FL89" i="15"/>
  <c r="FV45" i="15"/>
  <c r="FT45" i="15"/>
  <c r="FV15" i="15"/>
  <c r="FT15" i="15"/>
  <c r="FL56" i="15"/>
  <c r="FL42" i="15"/>
  <c r="FL51" i="15"/>
  <c r="FL36" i="15"/>
  <c r="FL31" i="15"/>
  <c r="FL26" i="15"/>
  <c r="FL21" i="15"/>
  <c r="FL11" i="15"/>
  <c r="FR56" i="15"/>
  <c r="FM56" i="15"/>
  <c r="FR51" i="15"/>
  <c r="FM51" i="15"/>
  <c r="FR42" i="15"/>
  <c r="FM42" i="15"/>
  <c r="FR36" i="15"/>
  <c r="FM36" i="15"/>
  <c r="FR31" i="15"/>
  <c r="FM31" i="15"/>
  <c r="FR26" i="15"/>
  <c r="FM26" i="15"/>
  <c r="FR21" i="15"/>
  <c r="FM21" i="15"/>
  <c r="FR11" i="15"/>
  <c r="FM11" i="15"/>
  <c r="FM89" i="15"/>
  <c r="FR89" i="15"/>
  <c r="AE86" i="17"/>
  <c r="O86" i="17" s="1"/>
  <c r="Q86" i="17"/>
  <c r="AE85" i="17"/>
  <c r="O85" i="17" s="1"/>
  <c r="Q85" i="17"/>
  <c r="AE84" i="17"/>
  <c r="O84" i="17" s="1"/>
  <c r="AE83" i="17"/>
  <c r="O83" i="17" s="1"/>
  <c r="AE81" i="17"/>
  <c r="O81" i="17" s="1"/>
  <c r="Q81" i="17"/>
  <c r="AE80" i="17"/>
  <c r="O80" i="17" s="1"/>
  <c r="Q80" i="17"/>
  <c r="AE79" i="17"/>
  <c r="O79" i="17" s="1"/>
  <c r="AE78" i="17"/>
  <c r="O78" i="17" s="1"/>
  <c r="AE76" i="17"/>
  <c r="O76" i="17" s="1"/>
  <c r="Q76" i="17"/>
  <c r="AE75" i="17"/>
  <c r="O75" i="17" s="1"/>
  <c r="Q75" i="17"/>
  <c r="AE74" i="17"/>
  <c r="O74" i="17" s="1"/>
  <c r="AE73" i="17"/>
  <c r="O73" i="17" s="1"/>
  <c r="AE71" i="17"/>
  <c r="O71" i="17" s="1"/>
  <c r="Q71" i="17"/>
  <c r="AE70" i="17"/>
  <c r="O70" i="17" s="1"/>
  <c r="Q70" i="17"/>
  <c r="AE69" i="17"/>
  <c r="O69" i="17" s="1"/>
  <c r="AE68" i="17"/>
  <c r="O68" i="17" s="1"/>
  <c r="AE66" i="17"/>
  <c r="O66" i="17" s="1"/>
  <c r="Q66" i="17"/>
  <c r="AE65" i="17"/>
  <c r="O65" i="17" s="1"/>
  <c r="Q65" i="17"/>
  <c r="AE64" i="17"/>
  <c r="O64" i="17" s="1"/>
  <c r="AE63" i="17"/>
  <c r="O63" i="17" s="1"/>
  <c r="AE61" i="17"/>
  <c r="O61" i="17" s="1"/>
  <c r="Q61" i="17"/>
  <c r="AE60" i="17"/>
  <c r="O60" i="17" s="1"/>
  <c r="Q60" i="17"/>
  <c r="AE59" i="17"/>
  <c r="O59" i="17" s="1"/>
  <c r="AE58" i="17"/>
  <c r="O58" i="17" s="1"/>
  <c r="AE56" i="17"/>
  <c r="O56" i="17" s="1"/>
  <c r="Q56" i="17"/>
  <c r="AE55" i="17"/>
  <c r="O55" i="17" s="1"/>
  <c r="Q55" i="17"/>
  <c r="AE54" i="17"/>
  <c r="O54" i="17" s="1"/>
  <c r="AE53" i="17"/>
  <c r="O53" i="17" s="1"/>
  <c r="AE51" i="17"/>
  <c r="O51" i="17" s="1"/>
  <c r="Q51" i="17"/>
  <c r="AE50" i="17"/>
  <c r="O50" i="17" s="1"/>
  <c r="Q50" i="17"/>
  <c r="AE49" i="17"/>
  <c r="O49" i="17" s="1"/>
  <c r="AE48" i="17"/>
  <c r="O48" i="17" s="1"/>
  <c r="AE46" i="17"/>
  <c r="O46" i="17" s="1"/>
  <c r="Q46" i="17"/>
  <c r="AE45" i="17"/>
  <c r="O45" i="17" s="1"/>
  <c r="Q45" i="17"/>
  <c r="AE44" i="17"/>
  <c r="O44" i="17" s="1"/>
  <c r="AE43" i="17"/>
  <c r="O43" i="17" s="1"/>
  <c r="AE41" i="17"/>
  <c r="O41" i="17" s="1"/>
  <c r="AE40" i="17"/>
  <c r="O40" i="17" s="1"/>
  <c r="AE39" i="17"/>
  <c r="O39" i="17" s="1"/>
  <c r="AE38" i="17"/>
  <c r="O38" i="17" s="1"/>
  <c r="Q41" i="17"/>
  <c r="Q40" i="17"/>
  <c r="AE36" i="17"/>
  <c r="O36" i="17" s="1"/>
  <c r="AE35" i="17"/>
  <c r="O35" i="17" s="1"/>
  <c r="AE34" i="17"/>
  <c r="O34" i="17" s="1"/>
  <c r="AE33" i="17"/>
  <c r="O33" i="17" s="1"/>
  <c r="Q36" i="17"/>
  <c r="Q35" i="17"/>
  <c r="EL50" i="15"/>
  <c r="EI75" i="15"/>
  <c r="EL71" i="15" s="1"/>
  <c r="EH75" i="15"/>
  <c r="EF75" i="15"/>
  <c r="ED75" i="15"/>
  <c r="EI135" i="15"/>
  <c r="EL134" i="15" s="1"/>
  <c r="EJ9" i="15" s="1"/>
  <c r="EH135" i="15"/>
  <c r="EF135" i="15"/>
  <c r="ED135" i="15"/>
  <c r="EJ134" i="15"/>
  <c r="EK134" i="15" s="1"/>
  <c r="EJ130" i="15"/>
  <c r="EK130" i="15" s="1"/>
  <c r="EJ129" i="15"/>
  <c r="EK129" i="15" s="1"/>
  <c r="EJ133" i="15"/>
  <c r="EK133" i="15" s="1"/>
  <c r="EJ132" i="15"/>
  <c r="EK132" i="15" s="1"/>
  <c r="EJ131" i="15"/>
  <c r="EK131" i="15" s="1"/>
  <c r="EJ86" i="15"/>
  <c r="EK86" i="15" s="1"/>
  <c r="EJ83" i="15"/>
  <c r="EK83" i="15" s="1"/>
  <c r="EJ80" i="15"/>
  <c r="EK80" i="15" s="1"/>
  <c r="EJ77" i="15"/>
  <c r="EK77" i="15" s="1"/>
  <c r="EJ74" i="15"/>
  <c r="EK74" i="15" s="1"/>
  <c r="EJ73" i="15"/>
  <c r="EK73" i="15" s="1"/>
  <c r="EJ72" i="15"/>
  <c r="EK72" i="15" s="1"/>
  <c r="EJ71" i="15"/>
  <c r="EK71" i="15" s="1"/>
  <c r="EI55" i="15"/>
  <c r="EL52" i="15" s="1"/>
  <c r="EH55" i="15"/>
  <c r="EF55" i="15"/>
  <c r="ED55" i="15"/>
  <c r="EJ70" i="15"/>
  <c r="EK70" i="15" s="1"/>
  <c r="EJ69" i="15"/>
  <c r="EK69" i="15" s="1"/>
  <c r="EJ66" i="15"/>
  <c r="EK66" i="15" s="1"/>
  <c r="EJ63" i="15"/>
  <c r="EK63" i="15" s="1"/>
  <c r="EJ60" i="15"/>
  <c r="EK60" i="15" s="1"/>
  <c r="EJ57" i="15"/>
  <c r="EK57" i="15" s="1"/>
  <c r="AE31" i="17"/>
  <c r="O31" i="17" s="1"/>
  <c r="AE30" i="17"/>
  <c r="O30" i="17" s="1"/>
  <c r="AE28" i="17"/>
  <c r="O28" i="17" s="1"/>
  <c r="AE27" i="17"/>
  <c r="O27" i="17" s="1"/>
  <c r="AE21" i="17"/>
  <c r="O21" i="17" s="1"/>
  <c r="AE20" i="17"/>
  <c r="O20" i="17" s="1"/>
  <c r="Q15" i="17"/>
  <c r="Q14" i="17"/>
  <c r="EN25" i="15"/>
  <c r="EN26" i="15"/>
  <c r="EN27" i="15"/>
  <c r="EN28" i="15"/>
  <c r="EN29" i="15"/>
  <c r="EN30" i="15"/>
  <c r="EN31" i="15"/>
  <c r="EN23" i="15"/>
  <c r="EV23" i="15"/>
  <c r="EJ110" i="15"/>
  <c r="EK110" i="15" s="1"/>
  <c r="EJ109" i="15"/>
  <c r="EK109" i="15" s="1"/>
  <c r="EJ115" i="15"/>
  <c r="EK115" i="15" s="1"/>
  <c r="EJ116" i="15"/>
  <c r="EK116" i="15" s="1"/>
  <c r="EJ117" i="15"/>
  <c r="EK117" i="15" s="1"/>
  <c r="EJ118" i="15"/>
  <c r="EK118" i="15" s="1"/>
  <c r="EJ119" i="15"/>
  <c r="EK119" i="15" s="1"/>
  <c r="EJ120" i="15"/>
  <c r="EK120" i="15" s="1"/>
  <c r="EJ121" i="15"/>
  <c r="EK121" i="15" s="1"/>
  <c r="EJ122" i="15"/>
  <c r="EK122" i="15" s="1"/>
  <c r="EJ123" i="15"/>
  <c r="EK123" i="15" s="1"/>
  <c r="EJ124" i="15"/>
  <c r="EK124" i="15" s="1"/>
  <c r="EJ125" i="15"/>
  <c r="EK125" i="15" s="1"/>
  <c r="EJ114" i="15"/>
  <c r="EK114" i="15" s="1"/>
  <c r="EJ35" i="15"/>
  <c r="EK35" i="15" s="1"/>
  <c r="EJ36" i="15"/>
  <c r="EK36" i="15" s="1"/>
  <c r="EJ37" i="15"/>
  <c r="EK37" i="15" s="1"/>
  <c r="EJ38" i="15"/>
  <c r="EK38" i="15" s="1"/>
  <c r="EJ39" i="15"/>
  <c r="EK39" i="15" s="1"/>
  <c r="EJ40" i="15"/>
  <c r="EK40" i="15" s="1"/>
  <c r="EJ41" i="15"/>
  <c r="EK41" i="15" s="1"/>
  <c r="EJ42" i="15"/>
  <c r="EK42" i="15" s="1"/>
  <c r="EJ43" i="15"/>
  <c r="EK43" i="15" s="1"/>
  <c r="EJ44" i="15"/>
  <c r="EK44" i="15" s="1"/>
  <c r="EJ45" i="15"/>
  <c r="EK45" i="15" s="1"/>
  <c r="EJ46" i="15"/>
  <c r="EK46" i="15" s="1"/>
  <c r="EJ47" i="15"/>
  <c r="EK47" i="15" s="1"/>
  <c r="EJ48" i="15"/>
  <c r="EK48" i="15" s="1"/>
  <c r="EJ49" i="15"/>
  <c r="EK49" i="15" s="1"/>
  <c r="EJ34" i="15"/>
  <c r="EK34" i="15" s="1"/>
  <c r="EJ52" i="15"/>
  <c r="EK52" i="15" s="1"/>
  <c r="EJ53" i="15"/>
  <c r="EK53" i="15" s="1"/>
  <c r="EJ54" i="15"/>
  <c r="EK54" i="15" s="1"/>
  <c r="EJ93" i="15"/>
  <c r="EK93" i="15" s="1"/>
  <c r="EJ94" i="15"/>
  <c r="EK94" i="15" s="1"/>
  <c r="EJ95" i="15"/>
  <c r="EK95" i="15" s="1"/>
  <c r="EJ96" i="15"/>
  <c r="EK96" i="15" s="1"/>
  <c r="EJ97" i="15"/>
  <c r="EK97" i="15" s="1"/>
  <c r="EJ98" i="15"/>
  <c r="EK98" i="15" s="1"/>
  <c r="EJ99" i="15"/>
  <c r="EK99" i="15" s="1"/>
  <c r="EJ100" i="15"/>
  <c r="EK100" i="15" s="1"/>
  <c r="EJ101" i="15"/>
  <c r="EK101" i="15" s="1"/>
  <c r="EJ102" i="15"/>
  <c r="EK102" i="15" s="1"/>
  <c r="EJ103" i="15"/>
  <c r="EK103" i="15" s="1"/>
  <c r="EJ104" i="15"/>
  <c r="EK104" i="15" s="1"/>
  <c r="EJ105" i="15"/>
  <c r="EK105" i="15" s="1"/>
  <c r="EJ92" i="15"/>
  <c r="EK92" i="15" s="1"/>
  <c r="DC342" i="15"/>
  <c r="DC343" i="15"/>
  <c r="DC344" i="15"/>
  <c r="DC345" i="15"/>
  <c r="DC346" i="15"/>
  <c r="DC347" i="15"/>
  <c r="DC348" i="15"/>
  <c r="DC349" i="15"/>
  <c r="DC350" i="15"/>
  <c r="DC351" i="15"/>
  <c r="DC352" i="15"/>
  <c r="DC353" i="15"/>
  <c r="DC354" i="15"/>
  <c r="DC355" i="15"/>
  <c r="DC356" i="15"/>
  <c r="DC357" i="15"/>
  <c r="DC358" i="15"/>
  <c r="DC359" i="15"/>
  <c r="DC360" i="15"/>
  <c r="DC361" i="15"/>
  <c r="DC362" i="15"/>
  <c r="DC363" i="15"/>
  <c r="DC364" i="15"/>
  <c r="DC365" i="15"/>
  <c r="DC366" i="15"/>
  <c r="DC367" i="15"/>
  <c r="DC368" i="15"/>
  <c r="DC369" i="15"/>
  <c r="DC370" i="15"/>
  <c r="DC371" i="15"/>
  <c r="DC372" i="15"/>
  <c r="DC373" i="15"/>
  <c r="DC374" i="15"/>
  <c r="DC375" i="15"/>
  <c r="DC376" i="15"/>
  <c r="DC377" i="15"/>
  <c r="DC378" i="15"/>
  <c r="DC379" i="15"/>
  <c r="DC380" i="15"/>
  <c r="DC381" i="15"/>
  <c r="DC382" i="15"/>
  <c r="DC383" i="15"/>
  <c r="DC341" i="15"/>
  <c r="DF384" i="15"/>
  <c r="DE384" i="15"/>
  <c r="DG383" i="15"/>
  <c r="DG382" i="15"/>
  <c r="DG381" i="15"/>
  <c r="DG380" i="15"/>
  <c r="DG379" i="15"/>
  <c r="DG378" i="15"/>
  <c r="DG377" i="15"/>
  <c r="DG376" i="15"/>
  <c r="DG375" i="15"/>
  <c r="DG374" i="15"/>
  <c r="DG373" i="15"/>
  <c r="DG372" i="15"/>
  <c r="DG371" i="15"/>
  <c r="DG370" i="15"/>
  <c r="DG369" i="15"/>
  <c r="DG368" i="15"/>
  <c r="DG367" i="15"/>
  <c r="DG366" i="15"/>
  <c r="DG365" i="15"/>
  <c r="DG364" i="15"/>
  <c r="DG363" i="15"/>
  <c r="DG362" i="15"/>
  <c r="DG361" i="15"/>
  <c r="DG360" i="15"/>
  <c r="DG359" i="15"/>
  <c r="DG358" i="15"/>
  <c r="DG357" i="15"/>
  <c r="DG356" i="15"/>
  <c r="DG355" i="15"/>
  <c r="DG354" i="15"/>
  <c r="DG353" i="15"/>
  <c r="DG352" i="15"/>
  <c r="DG351" i="15"/>
  <c r="DG350" i="15"/>
  <c r="DG349" i="15"/>
  <c r="DG348" i="15"/>
  <c r="DG347" i="15"/>
  <c r="DG346" i="15"/>
  <c r="DG345" i="15"/>
  <c r="DG344" i="15"/>
  <c r="DG343" i="15"/>
  <c r="DG342" i="15"/>
  <c r="DG341" i="15"/>
  <c r="FV398" i="15" l="1"/>
  <c r="FQ398" i="15"/>
  <c r="FT398" i="15" s="1"/>
  <c r="FU398" i="15" s="1"/>
  <c r="Y14" i="18"/>
  <c r="Z14" i="18"/>
  <c r="EJ19" i="15"/>
  <c r="EL19" i="15" s="1"/>
  <c r="FU157" i="15"/>
  <c r="FU291" i="15"/>
  <c r="Q14" i="18"/>
  <c r="O14" i="18"/>
  <c r="P13" i="18" s="1"/>
  <c r="N14" i="18"/>
  <c r="S14" i="18"/>
  <c r="FU274" i="15"/>
  <c r="FU242" i="15"/>
  <c r="FU285" i="15"/>
  <c r="FU226" i="15"/>
  <c r="FV89" i="15"/>
  <c r="FV11" i="15"/>
  <c r="FV31" i="15"/>
  <c r="FQ51" i="15"/>
  <c r="FT51" i="15" s="1"/>
  <c r="FV56" i="15"/>
  <c r="FV138" i="15"/>
  <c r="FQ138" i="15"/>
  <c r="FT138" i="15" s="1"/>
  <c r="FV42" i="15"/>
  <c r="FQ42" i="15"/>
  <c r="FT42" i="15" s="1"/>
  <c r="FV26" i="15"/>
  <c r="FV21" i="15"/>
  <c r="FQ36" i="15"/>
  <c r="FT36" i="15" s="1"/>
  <c r="FV36" i="15"/>
  <c r="FV51" i="15"/>
  <c r="FV62" i="15"/>
  <c r="FQ62" i="15"/>
  <c r="FQ89" i="15"/>
  <c r="FT89" i="15" s="1"/>
  <c r="FQ56" i="15"/>
  <c r="FT56" i="15" s="1"/>
  <c r="FU15" i="15"/>
  <c r="FU45" i="15"/>
  <c r="FQ11" i="15"/>
  <c r="FT11" i="15" s="1"/>
  <c r="FQ31" i="15"/>
  <c r="FT31" i="15" s="1"/>
  <c r="EL54" i="15"/>
  <c r="FQ26" i="15"/>
  <c r="FT26" i="15" s="1"/>
  <c r="EL133" i="15"/>
  <c r="EJ8" i="15" s="1"/>
  <c r="EL132" i="15"/>
  <c r="EJ7" i="15" s="1"/>
  <c r="EJ17" i="15" s="1"/>
  <c r="EL17" i="15" s="1"/>
  <c r="EL131" i="15"/>
  <c r="EJ6" i="15" s="1"/>
  <c r="EJ16" i="15" s="1"/>
  <c r="EL16" i="15" s="1"/>
  <c r="FQ21" i="15"/>
  <c r="FT21" i="15" s="1"/>
  <c r="EL70" i="15"/>
  <c r="EL53" i="15"/>
  <c r="EL69" i="15"/>
  <c r="EL74" i="15"/>
  <c r="EL130" i="15"/>
  <c r="EJ5" i="15" s="1"/>
  <c r="EJ15" i="15" s="1"/>
  <c r="EL15" i="15" s="1"/>
  <c r="EL73" i="15"/>
  <c r="EL129" i="15"/>
  <c r="EL72" i="15"/>
  <c r="AE12" i="17"/>
  <c r="O12" i="17" s="1"/>
  <c r="EM9" i="15"/>
  <c r="CI141" i="15"/>
  <c r="CJ141" i="15" s="1"/>
  <c r="CI404" i="15"/>
  <c r="CJ404" i="15" s="1"/>
  <c r="CI398" i="15"/>
  <c r="CJ398" i="15" s="1"/>
  <c r="CI392" i="15"/>
  <c r="CJ392" i="15" s="1"/>
  <c r="CI386" i="15"/>
  <c r="CJ386" i="15" s="1"/>
  <c r="CI380" i="15"/>
  <c r="CJ380" i="15" s="1"/>
  <c r="CI374" i="15"/>
  <c r="CJ374" i="15" s="1"/>
  <c r="CI368" i="15"/>
  <c r="CJ368" i="15" s="1"/>
  <c r="CI362" i="15"/>
  <c r="CJ362" i="15" s="1"/>
  <c r="CI356" i="15"/>
  <c r="CJ356" i="15" s="1"/>
  <c r="CI349" i="15"/>
  <c r="CJ349" i="15" s="1"/>
  <c r="CI342" i="15"/>
  <c r="CJ342" i="15" s="1"/>
  <c r="CI335" i="15"/>
  <c r="CJ335" i="15" s="1"/>
  <c r="CI328" i="15"/>
  <c r="CJ328" i="15" s="1"/>
  <c r="CI321" i="15"/>
  <c r="CJ321" i="15" s="1"/>
  <c r="CI313" i="15"/>
  <c r="CJ313" i="15" s="1"/>
  <c r="CI306" i="15"/>
  <c r="CJ306" i="15" s="1"/>
  <c r="CI299" i="15"/>
  <c r="CJ299" i="15" s="1"/>
  <c r="CI292" i="15"/>
  <c r="CJ292" i="15" s="1"/>
  <c r="CI285" i="15"/>
  <c r="CJ285" i="15" s="1"/>
  <c r="CI277" i="15"/>
  <c r="CJ277" i="15" s="1"/>
  <c r="CI270" i="15"/>
  <c r="CJ270" i="15" s="1"/>
  <c r="CI263" i="15"/>
  <c r="CJ263" i="15" s="1"/>
  <c r="CI256" i="15"/>
  <c r="CJ256" i="15" s="1"/>
  <c r="CI249" i="15"/>
  <c r="CJ249" i="15" s="1"/>
  <c r="CI241" i="15"/>
  <c r="CJ241" i="15" s="1"/>
  <c r="CI234" i="15"/>
  <c r="CJ234" i="15" s="1"/>
  <c r="CI227" i="15"/>
  <c r="CJ227" i="15" s="1"/>
  <c r="CI220" i="15"/>
  <c r="CJ220" i="15" s="1"/>
  <c r="CI213" i="15"/>
  <c r="CJ213" i="15" s="1"/>
  <c r="CI205" i="15"/>
  <c r="CJ205" i="15" s="1"/>
  <c r="CI198" i="15"/>
  <c r="CJ198" i="15" s="1"/>
  <c r="CI191" i="15"/>
  <c r="CJ191" i="15" s="1"/>
  <c r="CI184" i="15"/>
  <c r="CJ184" i="15" s="1"/>
  <c r="CI177" i="15"/>
  <c r="CJ177" i="15" s="1"/>
  <c r="CI169" i="15"/>
  <c r="CJ169" i="15" s="1"/>
  <c r="CI162" i="15"/>
  <c r="CJ162" i="15" s="1"/>
  <c r="CI155" i="15"/>
  <c r="CJ155" i="15" s="1"/>
  <c r="CI148" i="15"/>
  <c r="CJ148" i="15" s="1"/>
  <c r="CI133" i="15"/>
  <c r="CJ133" i="15" s="1"/>
  <c r="CI134" i="15"/>
  <c r="CJ134" i="15" s="1"/>
  <c r="CI140" i="15"/>
  <c r="CJ140" i="15" s="1"/>
  <c r="CI146" i="15"/>
  <c r="CJ146" i="15" s="1"/>
  <c r="CI152" i="15"/>
  <c r="CJ152" i="15" s="1"/>
  <c r="CI158" i="15"/>
  <c r="CJ158" i="15" s="1"/>
  <c r="CI164" i="15"/>
  <c r="CJ164" i="15" s="1"/>
  <c r="CI170" i="15"/>
  <c r="CJ170" i="15" s="1"/>
  <c r="CI176" i="15"/>
  <c r="CJ176" i="15" s="1"/>
  <c r="CI182" i="15"/>
  <c r="CJ182" i="15" s="1"/>
  <c r="CI188" i="15"/>
  <c r="CJ188" i="15" s="1"/>
  <c r="CI194" i="15"/>
  <c r="CJ194" i="15" s="1"/>
  <c r="CI200" i="15"/>
  <c r="CJ200" i="15" s="1"/>
  <c r="CI206" i="15"/>
  <c r="CJ206" i="15" s="1"/>
  <c r="CI212" i="15"/>
  <c r="CJ212" i="15" s="1"/>
  <c r="CI218" i="15"/>
  <c r="CJ218" i="15" s="1"/>
  <c r="CI224" i="15"/>
  <c r="CJ224" i="15" s="1"/>
  <c r="CI230" i="15"/>
  <c r="CJ230" i="15" s="1"/>
  <c r="CI236" i="15"/>
  <c r="CJ236" i="15" s="1"/>
  <c r="CI242" i="15"/>
  <c r="CJ242" i="15" s="1"/>
  <c r="CI248" i="15"/>
  <c r="CJ248" i="15" s="1"/>
  <c r="CI254" i="15"/>
  <c r="CJ254" i="15" s="1"/>
  <c r="CI260" i="15"/>
  <c r="CJ260" i="15" s="1"/>
  <c r="CI266" i="15"/>
  <c r="CJ266" i="15" s="1"/>
  <c r="CI272" i="15"/>
  <c r="CJ272" i="15" s="1"/>
  <c r="CI278" i="15"/>
  <c r="CJ278" i="15" s="1"/>
  <c r="CI284" i="15"/>
  <c r="CJ284" i="15" s="1"/>
  <c r="CI290" i="15"/>
  <c r="CJ290" i="15" s="1"/>
  <c r="CI296" i="15"/>
  <c r="CJ296" i="15" s="1"/>
  <c r="CI302" i="15"/>
  <c r="CJ302" i="15" s="1"/>
  <c r="CI308" i="15"/>
  <c r="CJ308" i="15" s="1"/>
  <c r="CI314" i="15"/>
  <c r="CJ314" i="15" s="1"/>
  <c r="CI320" i="15"/>
  <c r="CJ320" i="15" s="1"/>
  <c r="CI326" i="15"/>
  <c r="CJ326" i="15" s="1"/>
  <c r="CI332" i="15"/>
  <c r="CJ332" i="15" s="1"/>
  <c r="CI338" i="15"/>
  <c r="CJ338" i="15" s="1"/>
  <c r="CI344" i="15"/>
  <c r="CJ344" i="15" s="1"/>
  <c r="CI350" i="15"/>
  <c r="CJ350" i="15" s="1"/>
  <c r="CI131" i="15"/>
  <c r="CJ131" i="15" s="1"/>
  <c r="CI137" i="15"/>
  <c r="CJ137" i="15" s="1"/>
  <c r="CI132" i="15"/>
  <c r="CJ132" i="15" s="1"/>
  <c r="CI138" i="15"/>
  <c r="CJ138" i="15" s="1"/>
  <c r="CI403" i="15"/>
  <c r="CJ403" i="15" s="1"/>
  <c r="CI397" i="15"/>
  <c r="CJ397" i="15" s="1"/>
  <c r="CI391" i="15"/>
  <c r="CJ391" i="15" s="1"/>
  <c r="CI385" i="15"/>
  <c r="CJ385" i="15" s="1"/>
  <c r="CI379" i="15"/>
  <c r="CJ379" i="15" s="1"/>
  <c r="CI373" i="15"/>
  <c r="CJ373" i="15" s="1"/>
  <c r="CI367" i="15"/>
  <c r="CJ367" i="15" s="1"/>
  <c r="CI361" i="15"/>
  <c r="CJ361" i="15" s="1"/>
  <c r="CI355" i="15"/>
  <c r="CJ355" i="15" s="1"/>
  <c r="CI348" i="15"/>
  <c r="CJ348" i="15" s="1"/>
  <c r="CI341" i="15"/>
  <c r="CJ341" i="15" s="1"/>
  <c r="CI334" i="15"/>
  <c r="CJ334" i="15" s="1"/>
  <c r="CI327" i="15"/>
  <c r="CJ327" i="15" s="1"/>
  <c r="CI319" i="15"/>
  <c r="CJ319" i="15" s="1"/>
  <c r="CI312" i="15"/>
  <c r="CJ312" i="15" s="1"/>
  <c r="CI305" i="15"/>
  <c r="CJ305" i="15" s="1"/>
  <c r="CI298" i="15"/>
  <c r="CJ298" i="15" s="1"/>
  <c r="CI291" i="15"/>
  <c r="CJ291" i="15" s="1"/>
  <c r="CI283" i="15"/>
  <c r="CJ283" i="15" s="1"/>
  <c r="CI276" i="15"/>
  <c r="CJ276" i="15" s="1"/>
  <c r="CI269" i="15"/>
  <c r="CJ269" i="15" s="1"/>
  <c r="CI262" i="15"/>
  <c r="CJ262" i="15" s="1"/>
  <c r="CI255" i="15"/>
  <c r="CJ255" i="15" s="1"/>
  <c r="CI247" i="15"/>
  <c r="CJ247" i="15" s="1"/>
  <c r="CI240" i="15"/>
  <c r="CJ240" i="15" s="1"/>
  <c r="CI233" i="15"/>
  <c r="CJ233" i="15" s="1"/>
  <c r="CI226" i="15"/>
  <c r="CJ226" i="15" s="1"/>
  <c r="CI219" i="15"/>
  <c r="CJ219" i="15" s="1"/>
  <c r="CI211" i="15"/>
  <c r="CJ211" i="15" s="1"/>
  <c r="CI204" i="15"/>
  <c r="CJ204" i="15" s="1"/>
  <c r="CI197" i="15"/>
  <c r="CJ197" i="15" s="1"/>
  <c r="CI190" i="15"/>
  <c r="CJ190" i="15" s="1"/>
  <c r="CI183" i="15"/>
  <c r="CJ183" i="15" s="1"/>
  <c r="CI175" i="15"/>
  <c r="CJ175" i="15" s="1"/>
  <c r="CI168" i="15"/>
  <c r="CJ168" i="15" s="1"/>
  <c r="CI161" i="15"/>
  <c r="CJ161" i="15" s="1"/>
  <c r="CI154" i="15"/>
  <c r="CJ154" i="15" s="1"/>
  <c r="CI147" i="15"/>
  <c r="CJ147" i="15" s="1"/>
  <c r="CI139" i="15"/>
  <c r="CJ139" i="15" s="1"/>
  <c r="CI402" i="15"/>
  <c r="CJ402" i="15" s="1"/>
  <c r="CI396" i="15"/>
  <c r="CJ396" i="15" s="1"/>
  <c r="CI390" i="15"/>
  <c r="CJ390" i="15" s="1"/>
  <c r="CI384" i="15"/>
  <c r="CJ384" i="15" s="1"/>
  <c r="CI378" i="15"/>
  <c r="CJ378" i="15" s="1"/>
  <c r="CI372" i="15"/>
  <c r="CJ372" i="15" s="1"/>
  <c r="CI366" i="15"/>
  <c r="CJ366" i="15" s="1"/>
  <c r="CI360" i="15"/>
  <c r="CJ360" i="15" s="1"/>
  <c r="CI354" i="15"/>
  <c r="CJ354" i="15" s="1"/>
  <c r="CI347" i="15"/>
  <c r="CJ347" i="15" s="1"/>
  <c r="CI340" i="15"/>
  <c r="CJ340" i="15" s="1"/>
  <c r="CI333" i="15"/>
  <c r="CJ333" i="15" s="1"/>
  <c r="CI325" i="15"/>
  <c r="CJ325" i="15" s="1"/>
  <c r="CI318" i="15"/>
  <c r="CJ318" i="15" s="1"/>
  <c r="CI311" i="15"/>
  <c r="CJ311" i="15" s="1"/>
  <c r="CI304" i="15"/>
  <c r="CJ304" i="15" s="1"/>
  <c r="CI297" i="15"/>
  <c r="CJ297" i="15" s="1"/>
  <c r="CI289" i="15"/>
  <c r="CJ289" i="15" s="1"/>
  <c r="CI282" i="15"/>
  <c r="CJ282" i="15" s="1"/>
  <c r="CI275" i="15"/>
  <c r="CJ275" i="15" s="1"/>
  <c r="CI268" i="15"/>
  <c r="CJ268" i="15" s="1"/>
  <c r="CI261" i="15"/>
  <c r="CJ261" i="15" s="1"/>
  <c r="CI253" i="15"/>
  <c r="CJ253" i="15" s="1"/>
  <c r="CI246" i="15"/>
  <c r="CJ246" i="15" s="1"/>
  <c r="CI239" i="15"/>
  <c r="CJ239" i="15" s="1"/>
  <c r="CI232" i="15"/>
  <c r="CJ232" i="15" s="1"/>
  <c r="CI225" i="15"/>
  <c r="CJ225" i="15" s="1"/>
  <c r="CI217" i="15"/>
  <c r="CJ217" i="15" s="1"/>
  <c r="CI210" i="15"/>
  <c r="CJ210" i="15" s="1"/>
  <c r="CI203" i="15"/>
  <c r="CJ203" i="15" s="1"/>
  <c r="CI196" i="15"/>
  <c r="CJ196" i="15" s="1"/>
  <c r="CI189" i="15"/>
  <c r="CJ189" i="15" s="1"/>
  <c r="CI181" i="15"/>
  <c r="CJ181" i="15" s="1"/>
  <c r="CI174" i="15"/>
  <c r="CJ174" i="15" s="1"/>
  <c r="CI167" i="15"/>
  <c r="CJ167" i="15" s="1"/>
  <c r="CI160" i="15"/>
  <c r="CJ160" i="15" s="1"/>
  <c r="CI153" i="15"/>
  <c r="CJ153" i="15" s="1"/>
  <c r="CI145" i="15"/>
  <c r="CJ145" i="15" s="1"/>
  <c r="CI136" i="15"/>
  <c r="CJ136" i="15" s="1"/>
  <c r="CI401" i="15"/>
  <c r="CJ401" i="15" s="1"/>
  <c r="CI395" i="15"/>
  <c r="CJ395" i="15" s="1"/>
  <c r="CI389" i="15"/>
  <c r="CJ389" i="15" s="1"/>
  <c r="CI383" i="15"/>
  <c r="CJ383" i="15" s="1"/>
  <c r="CI377" i="15"/>
  <c r="CJ377" i="15" s="1"/>
  <c r="CI371" i="15"/>
  <c r="CJ371" i="15" s="1"/>
  <c r="CI365" i="15"/>
  <c r="CJ365" i="15" s="1"/>
  <c r="CI359" i="15"/>
  <c r="CJ359" i="15" s="1"/>
  <c r="CI353" i="15"/>
  <c r="CJ353" i="15" s="1"/>
  <c r="CI346" i="15"/>
  <c r="CJ346" i="15" s="1"/>
  <c r="CI339" i="15"/>
  <c r="CJ339" i="15" s="1"/>
  <c r="CI331" i="15"/>
  <c r="CJ331" i="15" s="1"/>
  <c r="CI324" i="15"/>
  <c r="CJ324" i="15" s="1"/>
  <c r="CI317" i="15"/>
  <c r="CJ317" i="15" s="1"/>
  <c r="CI310" i="15"/>
  <c r="CJ310" i="15" s="1"/>
  <c r="CI303" i="15"/>
  <c r="CJ303" i="15" s="1"/>
  <c r="CI295" i="15"/>
  <c r="CJ295" i="15" s="1"/>
  <c r="CI288" i="15"/>
  <c r="CJ288" i="15" s="1"/>
  <c r="CI281" i="15"/>
  <c r="CJ281" i="15" s="1"/>
  <c r="CI274" i="15"/>
  <c r="CJ274" i="15" s="1"/>
  <c r="CI267" i="15"/>
  <c r="CJ267" i="15" s="1"/>
  <c r="CI259" i="15"/>
  <c r="CJ259" i="15" s="1"/>
  <c r="CI252" i="15"/>
  <c r="CJ252" i="15" s="1"/>
  <c r="CI245" i="15"/>
  <c r="CJ245" i="15" s="1"/>
  <c r="CI238" i="15"/>
  <c r="CJ238" i="15" s="1"/>
  <c r="CI231" i="15"/>
  <c r="CJ231" i="15" s="1"/>
  <c r="CI223" i="15"/>
  <c r="CJ223" i="15" s="1"/>
  <c r="CI216" i="15"/>
  <c r="CJ216" i="15" s="1"/>
  <c r="CI209" i="15"/>
  <c r="CJ209" i="15" s="1"/>
  <c r="CI202" i="15"/>
  <c r="CJ202" i="15" s="1"/>
  <c r="CI195" i="15"/>
  <c r="CJ195" i="15" s="1"/>
  <c r="CI187" i="15"/>
  <c r="CJ187" i="15" s="1"/>
  <c r="CI180" i="15"/>
  <c r="CJ180" i="15" s="1"/>
  <c r="CI173" i="15"/>
  <c r="CJ173" i="15" s="1"/>
  <c r="CI166" i="15"/>
  <c r="CJ166" i="15" s="1"/>
  <c r="CI159" i="15"/>
  <c r="CJ159" i="15" s="1"/>
  <c r="CI151" i="15"/>
  <c r="CJ151" i="15" s="1"/>
  <c r="CI144" i="15"/>
  <c r="CJ144" i="15" s="1"/>
  <c r="CI135" i="15"/>
  <c r="CJ135" i="15" s="1"/>
  <c r="CI130" i="15"/>
  <c r="CJ130" i="15" s="1"/>
  <c r="CI400" i="15"/>
  <c r="CJ400" i="15" s="1"/>
  <c r="CI394" i="15"/>
  <c r="CJ394" i="15" s="1"/>
  <c r="CI388" i="15"/>
  <c r="CJ388" i="15" s="1"/>
  <c r="CI382" i="15"/>
  <c r="CJ382" i="15" s="1"/>
  <c r="CI376" i="15"/>
  <c r="CJ376" i="15" s="1"/>
  <c r="CI370" i="15"/>
  <c r="CJ370" i="15" s="1"/>
  <c r="CI364" i="15"/>
  <c r="CJ364" i="15" s="1"/>
  <c r="CI358" i="15"/>
  <c r="CJ358" i="15" s="1"/>
  <c r="CI352" i="15"/>
  <c r="CJ352" i="15" s="1"/>
  <c r="CI345" i="15"/>
  <c r="CJ345" i="15" s="1"/>
  <c r="CI337" i="15"/>
  <c r="CJ337" i="15" s="1"/>
  <c r="CI330" i="15"/>
  <c r="CJ330" i="15" s="1"/>
  <c r="CI323" i="15"/>
  <c r="CJ323" i="15" s="1"/>
  <c r="CI316" i="15"/>
  <c r="CJ316" i="15" s="1"/>
  <c r="CI309" i="15"/>
  <c r="CJ309" i="15" s="1"/>
  <c r="CI301" i="15"/>
  <c r="CJ301" i="15" s="1"/>
  <c r="CI294" i="15"/>
  <c r="CJ294" i="15" s="1"/>
  <c r="CI287" i="15"/>
  <c r="CJ287" i="15" s="1"/>
  <c r="CI280" i="15"/>
  <c r="CJ280" i="15" s="1"/>
  <c r="CI273" i="15"/>
  <c r="CJ273" i="15" s="1"/>
  <c r="CI265" i="15"/>
  <c r="CJ265" i="15" s="1"/>
  <c r="CI258" i="15"/>
  <c r="CJ258" i="15" s="1"/>
  <c r="CI251" i="15"/>
  <c r="CJ251" i="15" s="1"/>
  <c r="CI244" i="15"/>
  <c r="CJ244" i="15" s="1"/>
  <c r="CI237" i="15"/>
  <c r="CJ237" i="15" s="1"/>
  <c r="CI229" i="15"/>
  <c r="CJ229" i="15" s="1"/>
  <c r="CI222" i="15"/>
  <c r="CJ222" i="15" s="1"/>
  <c r="CI215" i="15"/>
  <c r="CJ215" i="15" s="1"/>
  <c r="CI208" i="15"/>
  <c r="CJ208" i="15" s="1"/>
  <c r="CI201" i="15"/>
  <c r="CJ201" i="15" s="1"/>
  <c r="CI193" i="15"/>
  <c r="CJ193" i="15" s="1"/>
  <c r="CI186" i="15"/>
  <c r="CJ186" i="15" s="1"/>
  <c r="CI179" i="15"/>
  <c r="CJ179" i="15" s="1"/>
  <c r="CI172" i="15"/>
  <c r="CJ172" i="15" s="1"/>
  <c r="CI165" i="15"/>
  <c r="CJ165" i="15" s="1"/>
  <c r="CI157" i="15"/>
  <c r="CJ157" i="15" s="1"/>
  <c r="CI150" i="15"/>
  <c r="CJ150" i="15" s="1"/>
  <c r="CI143" i="15"/>
  <c r="CJ143" i="15" s="1"/>
  <c r="CI405" i="15"/>
  <c r="CJ405" i="15" s="1"/>
  <c r="CI399" i="15"/>
  <c r="CJ399" i="15" s="1"/>
  <c r="CI393" i="15"/>
  <c r="CJ393" i="15" s="1"/>
  <c r="CI387" i="15"/>
  <c r="CJ387" i="15" s="1"/>
  <c r="CI381" i="15"/>
  <c r="CJ381" i="15" s="1"/>
  <c r="CI375" i="15"/>
  <c r="CJ375" i="15" s="1"/>
  <c r="CI369" i="15"/>
  <c r="CJ369" i="15" s="1"/>
  <c r="CI363" i="15"/>
  <c r="CJ363" i="15" s="1"/>
  <c r="CI357" i="15"/>
  <c r="CJ357" i="15" s="1"/>
  <c r="CI351" i="15"/>
  <c r="CJ351" i="15" s="1"/>
  <c r="CI343" i="15"/>
  <c r="CJ343" i="15" s="1"/>
  <c r="CI336" i="15"/>
  <c r="CJ336" i="15" s="1"/>
  <c r="CI329" i="15"/>
  <c r="CJ329" i="15" s="1"/>
  <c r="CI322" i="15"/>
  <c r="CJ322" i="15" s="1"/>
  <c r="CI315" i="15"/>
  <c r="CJ315" i="15" s="1"/>
  <c r="CI307" i="15"/>
  <c r="CJ307" i="15" s="1"/>
  <c r="CI300" i="15"/>
  <c r="CJ300" i="15" s="1"/>
  <c r="CI293" i="15"/>
  <c r="CJ293" i="15" s="1"/>
  <c r="CI286" i="15"/>
  <c r="CJ286" i="15" s="1"/>
  <c r="CI279" i="15"/>
  <c r="CJ279" i="15" s="1"/>
  <c r="CI271" i="15"/>
  <c r="CJ271" i="15" s="1"/>
  <c r="CI264" i="15"/>
  <c r="CJ264" i="15" s="1"/>
  <c r="CI257" i="15"/>
  <c r="CJ257" i="15" s="1"/>
  <c r="CI250" i="15"/>
  <c r="CJ250" i="15" s="1"/>
  <c r="CI243" i="15"/>
  <c r="CJ243" i="15" s="1"/>
  <c r="CI235" i="15"/>
  <c r="CJ235" i="15" s="1"/>
  <c r="CI228" i="15"/>
  <c r="CJ228" i="15" s="1"/>
  <c r="CI221" i="15"/>
  <c r="CJ221" i="15" s="1"/>
  <c r="CI214" i="15"/>
  <c r="CJ214" i="15" s="1"/>
  <c r="CI207" i="15"/>
  <c r="CJ207" i="15" s="1"/>
  <c r="CI199" i="15"/>
  <c r="CJ199" i="15" s="1"/>
  <c r="CI192" i="15"/>
  <c r="CJ192" i="15" s="1"/>
  <c r="CI185" i="15"/>
  <c r="CJ185" i="15" s="1"/>
  <c r="CI178" i="15"/>
  <c r="CJ178" i="15" s="1"/>
  <c r="CI171" i="15"/>
  <c r="CJ171" i="15" s="1"/>
  <c r="CI163" i="15"/>
  <c r="CJ163" i="15" s="1"/>
  <c r="CI156" i="15"/>
  <c r="CJ156" i="15" s="1"/>
  <c r="CI149" i="15"/>
  <c r="CJ149" i="15" s="1"/>
  <c r="CI142" i="15"/>
  <c r="CJ142" i="15" s="1"/>
  <c r="DK41" i="15"/>
  <c r="DL41" i="15" s="1"/>
  <c r="DK333" i="15"/>
  <c r="DL333" i="15" s="1"/>
  <c r="DK327" i="15"/>
  <c r="DL327" i="15" s="1"/>
  <c r="DK321" i="15"/>
  <c r="DL321" i="15" s="1"/>
  <c r="DK315" i="15"/>
  <c r="DL315" i="15" s="1"/>
  <c r="DK309" i="15"/>
  <c r="DL309" i="15" s="1"/>
  <c r="DK303" i="15"/>
  <c r="DL303" i="15" s="1"/>
  <c r="DK297" i="15"/>
  <c r="DL297" i="15" s="1"/>
  <c r="DK291" i="15"/>
  <c r="DL291" i="15" s="1"/>
  <c r="DK285" i="15"/>
  <c r="DL285" i="15" s="1"/>
  <c r="DK279" i="15"/>
  <c r="DL279" i="15" s="1"/>
  <c r="DK273" i="15"/>
  <c r="DL273" i="15" s="1"/>
  <c r="DK267" i="15"/>
  <c r="DL267" i="15" s="1"/>
  <c r="DK261" i="15"/>
  <c r="DL261" i="15" s="1"/>
  <c r="DK255" i="15"/>
  <c r="DL255" i="15" s="1"/>
  <c r="DK249" i="15"/>
  <c r="DL249" i="15" s="1"/>
  <c r="DK243" i="15"/>
  <c r="DL243" i="15" s="1"/>
  <c r="DK237" i="15"/>
  <c r="DL237" i="15" s="1"/>
  <c r="DK229" i="15"/>
  <c r="DL229" i="15" s="1"/>
  <c r="DK222" i="15"/>
  <c r="DL222" i="15" s="1"/>
  <c r="DK215" i="15"/>
  <c r="DL215" i="15" s="1"/>
  <c r="DK208" i="15"/>
  <c r="DL208" i="15" s="1"/>
  <c r="DK201" i="15"/>
  <c r="DL201" i="15" s="1"/>
  <c r="DK193" i="15"/>
  <c r="DL193" i="15" s="1"/>
  <c r="DK186" i="15"/>
  <c r="DL186" i="15" s="1"/>
  <c r="DK179" i="15"/>
  <c r="DL179" i="15" s="1"/>
  <c r="DK172" i="15"/>
  <c r="DL172" i="15" s="1"/>
  <c r="DK165" i="15"/>
  <c r="DL165" i="15" s="1"/>
  <c r="DK157" i="15"/>
  <c r="DL157" i="15" s="1"/>
  <c r="DK150" i="15"/>
  <c r="DL150" i="15" s="1"/>
  <c r="DK143" i="15"/>
  <c r="DL143" i="15" s="1"/>
  <c r="DK136" i="15"/>
  <c r="DL136" i="15" s="1"/>
  <c r="DK126" i="15"/>
  <c r="DL126" i="15" s="1"/>
  <c r="DK118" i="15"/>
  <c r="DL118" i="15" s="1"/>
  <c r="DK108" i="15"/>
  <c r="DL108" i="15" s="1"/>
  <c r="DK100" i="15"/>
  <c r="DL100" i="15" s="1"/>
  <c r="DK90" i="15"/>
  <c r="DL90" i="15" s="1"/>
  <c r="DK82" i="15"/>
  <c r="DL82" i="15" s="1"/>
  <c r="DK72" i="15"/>
  <c r="DL72" i="15" s="1"/>
  <c r="DK64" i="15"/>
  <c r="DL64" i="15" s="1"/>
  <c r="DK53" i="15"/>
  <c r="DL53" i="15" s="1"/>
  <c r="DK38" i="15"/>
  <c r="DL38" i="15" s="1"/>
  <c r="DK44" i="15"/>
  <c r="DL44" i="15" s="1"/>
  <c r="DK50" i="15"/>
  <c r="DL50" i="15" s="1"/>
  <c r="DK56" i="15"/>
  <c r="DL56" i="15" s="1"/>
  <c r="DK62" i="15"/>
  <c r="DL62" i="15" s="1"/>
  <c r="DK68" i="15"/>
  <c r="DL68" i="15" s="1"/>
  <c r="DK74" i="15"/>
  <c r="DL74" i="15" s="1"/>
  <c r="DK80" i="15"/>
  <c r="DL80" i="15" s="1"/>
  <c r="DK86" i="15"/>
  <c r="DL86" i="15" s="1"/>
  <c r="DK92" i="15"/>
  <c r="DL92" i="15" s="1"/>
  <c r="DK98" i="15"/>
  <c r="DL98" i="15" s="1"/>
  <c r="DK104" i="15"/>
  <c r="DL104" i="15" s="1"/>
  <c r="DK110" i="15"/>
  <c r="DL110" i="15" s="1"/>
  <c r="DK116" i="15"/>
  <c r="DL116" i="15" s="1"/>
  <c r="DK122" i="15"/>
  <c r="DL122" i="15" s="1"/>
  <c r="DK128" i="15"/>
  <c r="DL128" i="15" s="1"/>
  <c r="DK134" i="15"/>
  <c r="DL134" i="15" s="1"/>
  <c r="DK140" i="15"/>
  <c r="DL140" i="15" s="1"/>
  <c r="DK146" i="15"/>
  <c r="DL146" i="15" s="1"/>
  <c r="DK152" i="15"/>
  <c r="DL152" i="15" s="1"/>
  <c r="DK158" i="15"/>
  <c r="DL158" i="15" s="1"/>
  <c r="DK164" i="15"/>
  <c r="DL164" i="15" s="1"/>
  <c r="DK170" i="15"/>
  <c r="DL170" i="15" s="1"/>
  <c r="DK176" i="15"/>
  <c r="DL176" i="15" s="1"/>
  <c r="DK182" i="15"/>
  <c r="DL182" i="15" s="1"/>
  <c r="DK188" i="15"/>
  <c r="DL188" i="15" s="1"/>
  <c r="DK194" i="15"/>
  <c r="DL194" i="15" s="1"/>
  <c r="DK200" i="15"/>
  <c r="DL200" i="15" s="1"/>
  <c r="DK206" i="15"/>
  <c r="DL206" i="15" s="1"/>
  <c r="DK212" i="15"/>
  <c r="DL212" i="15" s="1"/>
  <c r="DK218" i="15"/>
  <c r="DL218" i="15" s="1"/>
  <c r="DK224" i="15"/>
  <c r="DL224" i="15" s="1"/>
  <c r="DK230" i="15"/>
  <c r="DL230" i="15" s="1"/>
  <c r="DK236" i="15"/>
  <c r="DL236" i="15" s="1"/>
  <c r="DK39" i="15"/>
  <c r="DL39" i="15" s="1"/>
  <c r="DK45" i="15"/>
  <c r="DL45" i="15" s="1"/>
  <c r="DK51" i="15"/>
  <c r="DL51" i="15" s="1"/>
  <c r="DK57" i="15"/>
  <c r="DL57" i="15" s="1"/>
  <c r="DK63" i="15"/>
  <c r="DL63" i="15" s="1"/>
  <c r="DK69" i="15"/>
  <c r="DL69" i="15" s="1"/>
  <c r="DK75" i="15"/>
  <c r="DL75" i="15" s="1"/>
  <c r="DK81" i="15"/>
  <c r="DL81" i="15" s="1"/>
  <c r="DK87" i="15"/>
  <c r="DL87" i="15" s="1"/>
  <c r="DK93" i="15"/>
  <c r="DL93" i="15" s="1"/>
  <c r="DK99" i="15"/>
  <c r="DL99" i="15" s="1"/>
  <c r="DK105" i="15"/>
  <c r="DL105" i="15" s="1"/>
  <c r="DK111" i="15"/>
  <c r="DL111" i="15" s="1"/>
  <c r="DK117" i="15"/>
  <c r="DL117" i="15" s="1"/>
  <c r="DK123" i="15"/>
  <c r="DL123" i="15" s="1"/>
  <c r="DK129" i="15"/>
  <c r="DL129" i="15" s="1"/>
  <c r="DK135" i="15"/>
  <c r="DL135" i="15" s="1"/>
  <c r="DK34" i="15"/>
  <c r="DL34" i="15" s="1"/>
  <c r="DK40" i="15"/>
  <c r="DL40" i="15" s="1"/>
  <c r="DK46" i="15"/>
  <c r="DL46" i="15" s="1"/>
  <c r="DK52" i="15"/>
  <c r="DL52" i="15" s="1"/>
  <c r="DK58" i="15"/>
  <c r="DL58" i="15" s="1"/>
  <c r="DK332" i="15"/>
  <c r="DL332" i="15" s="1"/>
  <c r="DK326" i="15"/>
  <c r="DL326" i="15" s="1"/>
  <c r="DK320" i="15"/>
  <c r="DL320" i="15" s="1"/>
  <c r="DK314" i="15"/>
  <c r="DL314" i="15" s="1"/>
  <c r="DK308" i="15"/>
  <c r="DL308" i="15" s="1"/>
  <c r="DK302" i="15"/>
  <c r="DL302" i="15" s="1"/>
  <c r="DK296" i="15"/>
  <c r="DL296" i="15" s="1"/>
  <c r="DK290" i="15"/>
  <c r="DL290" i="15" s="1"/>
  <c r="DK284" i="15"/>
  <c r="DL284" i="15" s="1"/>
  <c r="DK278" i="15"/>
  <c r="DL278" i="15" s="1"/>
  <c r="DK272" i="15"/>
  <c r="DL272" i="15" s="1"/>
  <c r="DK266" i="15"/>
  <c r="DL266" i="15" s="1"/>
  <c r="DK260" i="15"/>
  <c r="DL260" i="15" s="1"/>
  <c r="DK254" i="15"/>
  <c r="DL254" i="15" s="1"/>
  <c r="DK248" i="15"/>
  <c r="DL248" i="15" s="1"/>
  <c r="DK242" i="15"/>
  <c r="DL242" i="15" s="1"/>
  <c r="DK235" i="15"/>
  <c r="DL235" i="15" s="1"/>
  <c r="DK228" i="15"/>
  <c r="DL228" i="15" s="1"/>
  <c r="DK221" i="15"/>
  <c r="DL221" i="15" s="1"/>
  <c r="DK214" i="15"/>
  <c r="DL214" i="15" s="1"/>
  <c r="DK207" i="15"/>
  <c r="DL207" i="15" s="1"/>
  <c r="DK199" i="15"/>
  <c r="DL199" i="15" s="1"/>
  <c r="DK192" i="15"/>
  <c r="DL192" i="15" s="1"/>
  <c r="DK185" i="15"/>
  <c r="DL185" i="15" s="1"/>
  <c r="DK178" i="15"/>
  <c r="DL178" i="15" s="1"/>
  <c r="DK171" i="15"/>
  <c r="DL171" i="15" s="1"/>
  <c r="DK163" i="15"/>
  <c r="DL163" i="15" s="1"/>
  <c r="DK156" i="15"/>
  <c r="DL156" i="15" s="1"/>
  <c r="DK149" i="15"/>
  <c r="DL149" i="15" s="1"/>
  <c r="DK142" i="15"/>
  <c r="DL142" i="15" s="1"/>
  <c r="DK133" i="15"/>
  <c r="DL133" i="15" s="1"/>
  <c r="DK125" i="15"/>
  <c r="DL125" i="15" s="1"/>
  <c r="DK115" i="15"/>
  <c r="DL115" i="15" s="1"/>
  <c r="DK107" i="15"/>
  <c r="DL107" i="15" s="1"/>
  <c r="DK97" i="15"/>
  <c r="DL97" i="15" s="1"/>
  <c r="DK89" i="15"/>
  <c r="DL89" i="15" s="1"/>
  <c r="DK79" i="15"/>
  <c r="DL79" i="15" s="1"/>
  <c r="DK71" i="15"/>
  <c r="DL71" i="15" s="1"/>
  <c r="DK61" i="15"/>
  <c r="DL61" i="15" s="1"/>
  <c r="DK49" i="15"/>
  <c r="DL49" i="15" s="1"/>
  <c r="DK37" i="15"/>
  <c r="DL37" i="15" s="1"/>
  <c r="DK331" i="15"/>
  <c r="DL331" i="15" s="1"/>
  <c r="DK325" i="15"/>
  <c r="DL325" i="15" s="1"/>
  <c r="DK319" i="15"/>
  <c r="DL319" i="15" s="1"/>
  <c r="DK313" i="15"/>
  <c r="DL313" i="15" s="1"/>
  <c r="DK307" i="15"/>
  <c r="DL307" i="15" s="1"/>
  <c r="DK301" i="15"/>
  <c r="DL301" i="15" s="1"/>
  <c r="DK295" i="15"/>
  <c r="DL295" i="15" s="1"/>
  <c r="DK289" i="15"/>
  <c r="DL289" i="15" s="1"/>
  <c r="DK283" i="15"/>
  <c r="DL283" i="15" s="1"/>
  <c r="DK277" i="15"/>
  <c r="DL277" i="15" s="1"/>
  <c r="DK271" i="15"/>
  <c r="DL271" i="15" s="1"/>
  <c r="DK265" i="15"/>
  <c r="DL265" i="15" s="1"/>
  <c r="DK259" i="15"/>
  <c r="DL259" i="15" s="1"/>
  <c r="DK253" i="15"/>
  <c r="DL253" i="15" s="1"/>
  <c r="DK247" i="15"/>
  <c r="DL247" i="15" s="1"/>
  <c r="DK241" i="15"/>
  <c r="DL241" i="15" s="1"/>
  <c r="DK234" i="15"/>
  <c r="DL234" i="15" s="1"/>
  <c r="DK227" i="15"/>
  <c r="DL227" i="15" s="1"/>
  <c r="DK220" i="15"/>
  <c r="DL220" i="15" s="1"/>
  <c r="DK213" i="15"/>
  <c r="DL213" i="15" s="1"/>
  <c r="DK205" i="15"/>
  <c r="DL205" i="15" s="1"/>
  <c r="DK198" i="15"/>
  <c r="DL198" i="15" s="1"/>
  <c r="DK191" i="15"/>
  <c r="DL191" i="15" s="1"/>
  <c r="DK184" i="15"/>
  <c r="DL184" i="15" s="1"/>
  <c r="DK177" i="15"/>
  <c r="DL177" i="15" s="1"/>
  <c r="DK169" i="15"/>
  <c r="DL169" i="15" s="1"/>
  <c r="DK162" i="15"/>
  <c r="DL162" i="15" s="1"/>
  <c r="DK155" i="15"/>
  <c r="DL155" i="15" s="1"/>
  <c r="DK148" i="15"/>
  <c r="DL148" i="15" s="1"/>
  <c r="DK141" i="15"/>
  <c r="DL141" i="15" s="1"/>
  <c r="DK132" i="15"/>
  <c r="DL132" i="15" s="1"/>
  <c r="DK124" i="15"/>
  <c r="DL124" i="15" s="1"/>
  <c r="DK114" i="15"/>
  <c r="DL114" i="15" s="1"/>
  <c r="DK106" i="15"/>
  <c r="DL106" i="15" s="1"/>
  <c r="DK96" i="15"/>
  <c r="DL96" i="15" s="1"/>
  <c r="DK88" i="15"/>
  <c r="DL88" i="15" s="1"/>
  <c r="DK78" i="15"/>
  <c r="DL78" i="15" s="1"/>
  <c r="DK70" i="15"/>
  <c r="DL70" i="15" s="1"/>
  <c r="DK60" i="15"/>
  <c r="DL60" i="15" s="1"/>
  <c r="DK48" i="15"/>
  <c r="DL48" i="15" s="1"/>
  <c r="DK36" i="15"/>
  <c r="DL36" i="15" s="1"/>
  <c r="DK330" i="15"/>
  <c r="DL330" i="15" s="1"/>
  <c r="DK318" i="15"/>
  <c r="DL318" i="15" s="1"/>
  <c r="DK312" i="15"/>
  <c r="DL312" i="15" s="1"/>
  <c r="DK306" i="15"/>
  <c r="DL306" i="15" s="1"/>
  <c r="DK294" i="15"/>
  <c r="DL294" i="15" s="1"/>
  <c r="DK288" i="15"/>
  <c r="DL288" i="15" s="1"/>
  <c r="DK282" i="15"/>
  <c r="DL282" i="15" s="1"/>
  <c r="DK276" i="15"/>
  <c r="DL276" i="15" s="1"/>
  <c r="DK270" i="15"/>
  <c r="DL270" i="15" s="1"/>
  <c r="DK264" i="15"/>
  <c r="DL264" i="15" s="1"/>
  <c r="DK258" i="15"/>
  <c r="DL258" i="15" s="1"/>
  <c r="DK252" i="15"/>
  <c r="DL252" i="15" s="1"/>
  <c r="DK246" i="15"/>
  <c r="DL246" i="15" s="1"/>
  <c r="DK240" i="15"/>
  <c r="DL240" i="15" s="1"/>
  <c r="DK233" i="15"/>
  <c r="DL233" i="15" s="1"/>
  <c r="DK226" i="15"/>
  <c r="DL226" i="15" s="1"/>
  <c r="DK219" i="15"/>
  <c r="DL219" i="15" s="1"/>
  <c r="DK211" i="15"/>
  <c r="DL211" i="15" s="1"/>
  <c r="DK204" i="15"/>
  <c r="DL204" i="15" s="1"/>
  <c r="DK197" i="15"/>
  <c r="DL197" i="15" s="1"/>
  <c r="DK190" i="15"/>
  <c r="DL190" i="15" s="1"/>
  <c r="DK183" i="15"/>
  <c r="DL183" i="15" s="1"/>
  <c r="DK175" i="15"/>
  <c r="DL175" i="15" s="1"/>
  <c r="DK168" i="15"/>
  <c r="DL168" i="15" s="1"/>
  <c r="DK161" i="15"/>
  <c r="DL161" i="15" s="1"/>
  <c r="DK154" i="15"/>
  <c r="DL154" i="15" s="1"/>
  <c r="DK147" i="15"/>
  <c r="DL147" i="15" s="1"/>
  <c r="DK139" i="15"/>
  <c r="DL139" i="15" s="1"/>
  <c r="DK131" i="15"/>
  <c r="DL131" i="15" s="1"/>
  <c r="DK121" i="15"/>
  <c r="DL121" i="15" s="1"/>
  <c r="DK113" i="15"/>
  <c r="DL113" i="15" s="1"/>
  <c r="DK103" i="15"/>
  <c r="DL103" i="15" s="1"/>
  <c r="DK95" i="15"/>
  <c r="DL95" i="15" s="1"/>
  <c r="DK85" i="15"/>
  <c r="DL85" i="15" s="1"/>
  <c r="DK77" i="15"/>
  <c r="DL77" i="15" s="1"/>
  <c r="DK67" i="15"/>
  <c r="DL67" i="15" s="1"/>
  <c r="DK59" i="15"/>
  <c r="DL59" i="15" s="1"/>
  <c r="DK47" i="15"/>
  <c r="DL47" i="15" s="1"/>
  <c r="DK35" i="15"/>
  <c r="DL35" i="15" s="1"/>
  <c r="DK324" i="15"/>
  <c r="DL324" i="15" s="1"/>
  <c r="DK300" i="15"/>
  <c r="DL300" i="15" s="1"/>
  <c r="DK33" i="15"/>
  <c r="DL33" i="15" s="1"/>
  <c r="DK329" i="15"/>
  <c r="DL329" i="15" s="1"/>
  <c r="DK323" i="15"/>
  <c r="DL323" i="15" s="1"/>
  <c r="DK317" i="15"/>
  <c r="DL317" i="15" s="1"/>
  <c r="DK311" i="15"/>
  <c r="DL311" i="15" s="1"/>
  <c r="DK305" i="15"/>
  <c r="DL305" i="15" s="1"/>
  <c r="DK299" i="15"/>
  <c r="DL299" i="15" s="1"/>
  <c r="DK293" i="15"/>
  <c r="DL293" i="15" s="1"/>
  <c r="DK287" i="15"/>
  <c r="DL287" i="15" s="1"/>
  <c r="DK281" i="15"/>
  <c r="DL281" i="15" s="1"/>
  <c r="DK275" i="15"/>
  <c r="DL275" i="15" s="1"/>
  <c r="DK269" i="15"/>
  <c r="DL269" i="15" s="1"/>
  <c r="DK263" i="15"/>
  <c r="DL263" i="15" s="1"/>
  <c r="DK257" i="15"/>
  <c r="DL257" i="15" s="1"/>
  <c r="DK251" i="15"/>
  <c r="DL251" i="15" s="1"/>
  <c r="DK245" i="15"/>
  <c r="DL245" i="15" s="1"/>
  <c r="DK239" i="15"/>
  <c r="DL239" i="15" s="1"/>
  <c r="DK232" i="15"/>
  <c r="DL232" i="15" s="1"/>
  <c r="DK225" i="15"/>
  <c r="DL225" i="15" s="1"/>
  <c r="DK217" i="15"/>
  <c r="DL217" i="15" s="1"/>
  <c r="DK210" i="15"/>
  <c r="DL210" i="15" s="1"/>
  <c r="DK203" i="15"/>
  <c r="DL203" i="15" s="1"/>
  <c r="DK196" i="15"/>
  <c r="DL196" i="15" s="1"/>
  <c r="DK189" i="15"/>
  <c r="DL189" i="15" s="1"/>
  <c r="DK181" i="15"/>
  <c r="DL181" i="15" s="1"/>
  <c r="DK174" i="15"/>
  <c r="DL174" i="15" s="1"/>
  <c r="DK167" i="15"/>
  <c r="DL167" i="15" s="1"/>
  <c r="DK160" i="15"/>
  <c r="DL160" i="15" s="1"/>
  <c r="DK153" i="15"/>
  <c r="DL153" i="15" s="1"/>
  <c r="DK145" i="15"/>
  <c r="DL145" i="15" s="1"/>
  <c r="DK138" i="15"/>
  <c r="DL138" i="15" s="1"/>
  <c r="DK130" i="15"/>
  <c r="DL130" i="15" s="1"/>
  <c r="DK120" i="15"/>
  <c r="DL120" i="15" s="1"/>
  <c r="DK112" i="15"/>
  <c r="DL112" i="15" s="1"/>
  <c r="DK102" i="15"/>
  <c r="DL102" i="15" s="1"/>
  <c r="DK94" i="15"/>
  <c r="DL94" i="15" s="1"/>
  <c r="DK84" i="15"/>
  <c r="DL84" i="15" s="1"/>
  <c r="DK76" i="15"/>
  <c r="DL76" i="15" s="1"/>
  <c r="DK66" i="15"/>
  <c r="DL66" i="15" s="1"/>
  <c r="DK55" i="15"/>
  <c r="DL55" i="15" s="1"/>
  <c r="DK43" i="15"/>
  <c r="DL43" i="15" s="1"/>
  <c r="DK334" i="15"/>
  <c r="DL334" i="15" s="1"/>
  <c r="DK328" i="15"/>
  <c r="DL328" i="15" s="1"/>
  <c r="DK322" i="15"/>
  <c r="DL322" i="15" s="1"/>
  <c r="DK316" i="15"/>
  <c r="DL316" i="15" s="1"/>
  <c r="DK310" i="15"/>
  <c r="DL310" i="15" s="1"/>
  <c r="DK304" i="15"/>
  <c r="DL304" i="15" s="1"/>
  <c r="DK298" i="15"/>
  <c r="DL298" i="15" s="1"/>
  <c r="DK292" i="15"/>
  <c r="DL292" i="15" s="1"/>
  <c r="DK286" i="15"/>
  <c r="DL286" i="15" s="1"/>
  <c r="DK280" i="15"/>
  <c r="DL280" i="15" s="1"/>
  <c r="DK274" i="15"/>
  <c r="DL274" i="15" s="1"/>
  <c r="DK268" i="15"/>
  <c r="DL268" i="15" s="1"/>
  <c r="DK262" i="15"/>
  <c r="DL262" i="15" s="1"/>
  <c r="DK256" i="15"/>
  <c r="DL256" i="15" s="1"/>
  <c r="DK250" i="15"/>
  <c r="DL250" i="15" s="1"/>
  <c r="DK244" i="15"/>
  <c r="DL244" i="15" s="1"/>
  <c r="DK238" i="15"/>
  <c r="DL238" i="15" s="1"/>
  <c r="DK231" i="15"/>
  <c r="DL231" i="15" s="1"/>
  <c r="DK223" i="15"/>
  <c r="DL223" i="15" s="1"/>
  <c r="DK216" i="15"/>
  <c r="DL216" i="15" s="1"/>
  <c r="DK209" i="15"/>
  <c r="DL209" i="15" s="1"/>
  <c r="DK202" i="15"/>
  <c r="DL202" i="15" s="1"/>
  <c r="DK195" i="15"/>
  <c r="DL195" i="15" s="1"/>
  <c r="DK187" i="15"/>
  <c r="DL187" i="15" s="1"/>
  <c r="DK180" i="15"/>
  <c r="DL180" i="15" s="1"/>
  <c r="DK173" i="15"/>
  <c r="DL173" i="15" s="1"/>
  <c r="DK166" i="15"/>
  <c r="DL166" i="15" s="1"/>
  <c r="DK159" i="15"/>
  <c r="DL159" i="15" s="1"/>
  <c r="DK151" i="15"/>
  <c r="DL151" i="15" s="1"/>
  <c r="DK144" i="15"/>
  <c r="DL144" i="15" s="1"/>
  <c r="DK137" i="15"/>
  <c r="DL137" i="15" s="1"/>
  <c r="DK127" i="15"/>
  <c r="DL127" i="15" s="1"/>
  <c r="DK119" i="15"/>
  <c r="DL119" i="15" s="1"/>
  <c r="DK109" i="15"/>
  <c r="DL109" i="15" s="1"/>
  <c r="DK101" i="15"/>
  <c r="DL101" i="15" s="1"/>
  <c r="DK91" i="15"/>
  <c r="DL91" i="15" s="1"/>
  <c r="DK83" i="15"/>
  <c r="DL83" i="15" s="1"/>
  <c r="DK73" i="15"/>
  <c r="DL73" i="15" s="1"/>
  <c r="DK65" i="15"/>
  <c r="DL65" i="15" s="1"/>
  <c r="DK54" i="15"/>
  <c r="DL54" i="15" s="1"/>
  <c r="DK42" i="15"/>
  <c r="DL42" i="15" s="1"/>
  <c r="DG384" i="15"/>
  <c r="EK8" i="15" l="1"/>
  <c r="EJ18" i="15"/>
  <c r="EL18" i="15" s="1"/>
  <c r="R13" i="18"/>
  <c r="F13" i="18"/>
  <c r="P14" i="18"/>
  <c r="P12" i="18"/>
  <c r="P11" i="18"/>
  <c r="FU11" i="15"/>
  <c r="FU31" i="15"/>
  <c r="FU89" i="15"/>
  <c r="FU51" i="15"/>
  <c r="FU56" i="15"/>
  <c r="FU138" i="15"/>
  <c r="FU42" i="15"/>
  <c r="EN8" i="15" s="1"/>
  <c r="FU26" i="15"/>
  <c r="FU21" i="15"/>
  <c r="FU36" i="15"/>
  <c r="EM6" i="15"/>
  <c r="EM5" i="15"/>
  <c r="EK7" i="15"/>
  <c r="EL8" i="15"/>
  <c r="FT62" i="15"/>
  <c r="FU62" i="15" s="1"/>
  <c r="EM24" i="15"/>
  <c r="EN24" i="15" s="1"/>
  <c r="EM8" i="15"/>
  <c r="EL7" i="15"/>
  <c r="EL75" i="15"/>
  <c r="EJ4" i="15"/>
  <c r="EL135" i="15"/>
  <c r="EL55" i="15"/>
  <c r="EO55" i="15" s="1"/>
  <c r="DY13" i="15"/>
  <c r="AE15" i="17"/>
  <c r="O15" i="17" s="1"/>
  <c r="AE14" i="17"/>
  <c r="O14" i="17" s="1"/>
  <c r="AE13" i="17"/>
  <c r="O13" i="17" s="1"/>
  <c r="EL6" i="15"/>
  <c r="EM7" i="15"/>
  <c r="EK5" i="15"/>
  <c r="EL5" i="15"/>
  <c r="DY18" i="15"/>
  <c r="DY9" i="15"/>
  <c r="EK6" i="15"/>
  <c r="EN6" i="15" s="1"/>
  <c r="EL9" i="15"/>
  <c r="EK9" i="15"/>
  <c r="EN9" i="15" s="1"/>
  <c r="DY16" i="15"/>
  <c r="DY14" i="15"/>
  <c r="DY4" i="15"/>
  <c r="DY8" i="15"/>
  <c r="DY6" i="15"/>
  <c r="DY7" i="15"/>
  <c r="DY3" i="15"/>
  <c r="DY10" i="15"/>
  <c r="DY17" i="15"/>
  <c r="DY11" i="15"/>
  <c r="DY12" i="15"/>
  <c r="DY5" i="15"/>
  <c r="DY15" i="15"/>
  <c r="EI126" i="15"/>
  <c r="EH126" i="15"/>
  <c r="EF126" i="15"/>
  <c r="ED126" i="15"/>
  <c r="EI111" i="15"/>
  <c r="EL109" i="15" s="1"/>
  <c r="EH111" i="15"/>
  <c r="EF111" i="15"/>
  <c r="ED111" i="15"/>
  <c r="EI106" i="15"/>
  <c r="EL98" i="15" s="1"/>
  <c r="EP10" i="15" s="1"/>
  <c r="ES10" i="15" s="1"/>
  <c r="EH106" i="15"/>
  <c r="EF106" i="15"/>
  <c r="ED106" i="15"/>
  <c r="DB45" i="15"/>
  <c r="DB47" i="15"/>
  <c r="DB50" i="15"/>
  <c r="DB81" i="15"/>
  <c r="DB82" i="15"/>
  <c r="DB86" i="15"/>
  <c r="DB89" i="15"/>
  <c r="DB94" i="15"/>
  <c r="DB97" i="15"/>
  <c r="DB111" i="15"/>
  <c r="DB115" i="15"/>
  <c r="DB119" i="15"/>
  <c r="DB132" i="15"/>
  <c r="DB142" i="15"/>
  <c r="DB148" i="15"/>
  <c r="DB152" i="15"/>
  <c r="DB156" i="15"/>
  <c r="DB159" i="15"/>
  <c r="DB161" i="15"/>
  <c r="DB163" i="15"/>
  <c r="DB165" i="15"/>
  <c r="DB166" i="15"/>
  <c r="DB174" i="15"/>
  <c r="DB211" i="15"/>
  <c r="DB222" i="15"/>
  <c r="DB236" i="15"/>
  <c r="DB247" i="15"/>
  <c r="DB248" i="15"/>
  <c r="DB251" i="15"/>
  <c r="DB253" i="15"/>
  <c r="DB255" i="15"/>
  <c r="DB270" i="15"/>
  <c r="DB282" i="15"/>
  <c r="DB287" i="15"/>
  <c r="DB288" i="15"/>
  <c r="DB289" i="15"/>
  <c r="DB290" i="15"/>
  <c r="DB299" i="15"/>
  <c r="DB300" i="15"/>
  <c r="DB313" i="15"/>
  <c r="DB318" i="15"/>
  <c r="DB327" i="15"/>
  <c r="DB329" i="15"/>
  <c r="DB48" i="15"/>
  <c r="DB83" i="15"/>
  <c r="DB112" i="15"/>
  <c r="DB116" i="15"/>
  <c r="DB133" i="15"/>
  <c r="DB143" i="15"/>
  <c r="DB149" i="15"/>
  <c r="DB157" i="15"/>
  <c r="DB160" i="15"/>
  <c r="DB162" i="15"/>
  <c r="DB164" i="15"/>
  <c r="DB167" i="15"/>
  <c r="DB291" i="15"/>
  <c r="DB301" i="15"/>
  <c r="DB319" i="15"/>
  <c r="DB328" i="15"/>
  <c r="DB330" i="15"/>
  <c r="DB33" i="15"/>
  <c r="DB34" i="15"/>
  <c r="DB35" i="15"/>
  <c r="DB36" i="15"/>
  <c r="DB37" i="15"/>
  <c r="DB38" i="15"/>
  <c r="DB41" i="15"/>
  <c r="DB42" i="15"/>
  <c r="DB43" i="15"/>
  <c r="DB44" i="15"/>
  <c r="DB49" i="15"/>
  <c r="DB51" i="15"/>
  <c r="DB52" i="15"/>
  <c r="DB53" i="15"/>
  <c r="DB54" i="15"/>
  <c r="DB69" i="15"/>
  <c r="DB70" i="15"/>
  <c r="DB71" i="15"/>
  <c r="DB73" i="15"/>
  <c r="DB74" i="15"/>
  <c r="DB79" i="15"/>
  <c r="DB80" i="15"/>
  <c r="DB84" i="15"/>
  <c r="DB87" i="15"/>
  <c r="DB88" i="15"/>
  <c r="DB90" i="15"/>
  <c r="DB91" i="15"/>
  <c r="DB92" i="15"/>
  <c r="DB93" i="15"/>
  <c r="DB95" i="15"/>
  <c r="DB98" i="15"/>
  <c r="DB99" i="15"/>
  <c r="DB100" i="15"/>
  <c r="DB102" i="15"/>
  <c r="DB103" i="15"/>
  <c r="DB105" i="15"/>
  <c r="DB107" i="15"/>
  <c r="DB110" i="15"/>
  <c r="DB113" i="15"/>
  <c r="DB117" i="15"/>
  <c r="DB118" i="15"/>
  <c r="DB122" i="15"/>
  <c r="DB124" i="15"/>
  <c r="DB126" i="15"/>
  <c r="DB129" i="15"/>
  <c r="DB139" i="15"/>
  <c r="DB170" i="15"/>
  <c r="DB173" i="15"/>
  <c r="DB175" i="15"/>
  <c r="DB185" i="15"/>
  <c r="DB187" i="15"/>
  <c r="DB190" i="15"/>
  <c r="DB194" i="15"/>
  <c r="DB198" i="15"/>
  <c r="DB202" i="15"/>
  <c r="DB207" i="15"/>
  <c r="DB209" i="15"/>
  <c r="DB217" i="15"/>
  <c r="DB219" i="15"/>
  <c r="DB223" i="15"/>
  <c r="DB225" i="15"/>
  <c r="DB239" i="15"/>
  <c r="DB245" i="15"/>
  <c r="DB246" i="15"/>
  <c r="DB250" i="15"/>
  <c r="DB252" i="15"/>
  <c r="DB256" i="15"/>
  <c r="DB259" i="15"/>
  <c r="DB260" i="15"/>
  <c r="DB261" i="15"/>
  <c r="DB302" i="15"/>
  <c r="DB314" i="15"/>
  <c r="DB333" i="15"/>
  <c r="DB334" i="15"/>
  <c r="DB40" i="15"/>
  <c r="DB60" i="15"/>
  <c r="DB136" i="15"/>
  <c r="DB263" i="15"/>
  <c r="DB265" i="15"/>
  <c r="DB271" i="15"/>
  <c r="DB273" i="15"/>
  <c r="DB276" i="15"/>
  <c r="DB279" i="15"/>
  <c r="DB283" i="15"/>
  <c r="DB293" i="15"/>
  <c r="DB303" i="15"/>
  <c r="DB315" i="15"/>
  <c r="DB321" i="15"/>
  <c r="DB332" i="15"/>
  <c r="DB75" i="15"/>
  <c r="DB134" i="15"/>
  <c r="DB135" i="15"/>
  <c r="DB140" i="15"/>
  <c r="DB141" i="15"/>
  <c r="DB144" i="15"/>
  <c r="DB145" i="15"/>
  <c r="DB146" i="15"/>
  <c r="DB147" i="15"/>
  <c r="DB150" i="15"/>
  <c r="DB151" i="15"/>
  <c r="DB153" i="15"/>
  <c r="DB154" i="15"/>
  <c r="DB155" i="15"/>
  <c r="DB237" i="15"/>
  <c r="DB244" i="15"/>
  <c r="DB249" i="15"/>
  <c r="DB254" i="15"/>
  <c r="DB266" i="15"/>
  <c r="DB268" i="15"/>
  <c r="DB272" i="15"/>
  <c r="DB274" i="15"/>
  <c r="DB277" i="15"/>
  <c r="DB280" i="15"/>
  <c r="DB284" i="15"/>
  <c r="DB286" i="15"/>
  <c r="DB292" i="15"/>
  <c r="DB294" i="15"/>
  <c r="DB295" i="15"/>
  <c r="DB298" i="15"/>
  <c r="DB304" i="15"/>
  <c r="DB325" i="15"/>
  <c r="DB61" i="15"/>
  <c r="DB67" i="15"/>
  <c r="DB264" i="15"/>
  <c r="DB267" i="15"/>
  <c r="DB269" i="15"/>
  <c r="DB275" i="15"/>
  <c r="DB278" i="15"/>
  <c r="DB281" i="15"/>
  <c r="DB305" i="15"/>
  <c r="DB316" i="15"/>
  <c r="DB322" i="15"/>
  <c r="DB55" i="15"/>
  <c r="DB62" i="15"/>
  <c r="DB240" i="15"/>
  <c r="DB242" i="15"/>
  <c r="DB257" i="15"/>
  <c r="DB306" i="15"/>
  <c r="DB56" i="15"/>
  <c r="DB63" i="15"/>
  <c r="DB137" i="15"/>
  <c r="DB307" i="15"/>
  <c r="DB317" i="15"/>
  <c r="DB323" i="15"/>
  <c r="DB57" i="15"/>
  <c r="DB64" i="15"/>
  <c r="DB66" i="15"/>
  <c r="DB68" i="15"/>
  <c r="DB138" i="15"/>
  <c r="DB241" i="15"/>
  <c r="DB243" i="15"/>
  <c r="DB308" i="15"/>
  <c r="DB309" i="15"/>
  <c r="DB324" i="15"/>
  <c r="DB65" i="15"/>
  <c r="DB285" i="15"/>
  <c r="DB310" i="15"/>
  <c r="DB46" i="15"/>
  <c r="DB85" i="15"/>
  <c r="DB120" i="15"/>
  <c r="DB311" i="15"/>
  <c r="DB58" i="15"/>
  <c r="DB59" i="15"/>
  <c r="DB72" i="15"/>
  <c r="DB76" i="15"/>
  <c r="DB77" i="15"/>
  <c r="DB78" i="15"/>
  <c r="DB96" i="15"/>
  <c r="DB101" i="15"/>
  <c r="DB104" i="15"/>
  <c r="DB106" i="15"/>
  <c r="DB108" i="15"/>
  <c r="DB109" i="15"/>
  <c r="DB114" i="15"/>
  <c r="DB121" i="15"/>
  <c r="DB123" i="15"/>
  <c r="DB125" i="15"/>
  <c r="DB127" i="15"/>
  <c r="DB128" i="15"/>
  <c r="DB130" i="15"/>
  <c r="DB131" i="15"/>
  <c r="DB158" i="15"/>
  <c r="DB168" i="15"/>
  <c r="DB169" i="15"/>
  <c r="DB171" i="15"/>
  <c r="DB172" i="15"/>
  <c r="DB176" i="15"/>
  <c r="DB177" i="15"/>
  <c r="DB178" i="15"/>
  <c r="DB179" i="15"/>
  <c r="DB180" i="15"/>
  <c r="DB181" i="15"/>
  <c r="DB182" i="15"/>
  <c r="DB183" i="15"/>
  <c r="DB184" i="15"/>
  <c r="DB186" i="15"/>
  <c r="DB188" i="15"/>
  <c r="DB189" i="15"/>
  <c r="DB191" i="15"/>
  <c r="DB192" i="15"/>
  <c r="DB193" i="15"/>
  <c r="DB195" i="15"/>
  <c r="DB196" i="15"/>
  <c r="DB197" i="15"/>
  <c r="DB199" i="15"/>
  <c r="DB200" i="15"/>
  <c r="DB201" i="15"/>
  <c r="DB203" i="15"/>
  <c r="DB204" i="15"/>
  <c r="DB205" i="15"/>
  <c r="DB206" i="15"/>
  <c r="DB208" i="15"/>
  <c r="DB210" i="15"/>
  <c r="DB212" i="15"/>
  <c r="DB213" i="15"/>
  <c r="DB214" i="15"/>
  <c r="DB215" i="15"/>
  <c r="DB216" i="15"/>
  <c r="DB218" i="15"/>
  <c r="DB220" i="15"/>
  <c r="DB221" i="15"/>
  <c r="DB224" i="15"/>
  <c r="DB226" i="15"/>
  <c r="DB227" i="15"/>
  <c r="DB228" i="15"/>
  <c r="DB229" i="15"/>
  <c r="DB230" i="15"/>
  <c r="DB231" i="15"/>
  <c r="DB232" i="15"/>
  <c r="DB233" i="15"/>
  <c r="DB234" i="15"/>
  <c r="DB235" i="15"/>
  <c r="DB238" i="15"/>
  <c r="DB258" i="15"/>
  <c r="DB262" i="15"/>
  <c r="DB312" i="15"/>
  <c r="DB320" i="15"/>
  <c r="DB331" i="15"/>
  <c r="DB296" i="15"/>
  <c r="DB297" i="15"/>
  <c r="DB326" i="15"/>
  <c r="DB39" i="15"/>
  <c r="DF16" i="15"/>
  <c r="DF14" i="15"/>
  <c r="DF4" i="15"/>
  <c r="DH4" i="15" s="1"/>
  <c r="DF5" i="15"/>
  <c r="DH5" i="15" s="1"/>
  <c r="DF6" i="15"/>
  <c r="DH6" i="15" s="1"/>
  <c r="DF7" i="15"/>
  <c r="DH7" i="15" s="1"/>
  <c r="DF8" i="15"/>
  <c r="DH8" i="15" s="1"/>
  <c r="DF9" i="15"/>
  <c r="DH9" i="15" s="1"/>
  <c r="DF10" i="15"/>
  <c r="DH10" i="15" s="1"/>
  <c r="DF11" i="15"/>
  <c r="DH11" i="15" s="1"/>
  <c r="DF12" i="15"/>
  <c r="DH12" i="15" s="1"/>
  <c r="DF13" i="15"/>
  <c r="DH13" i="15" s="1"/>
  <c r="DF15" i="15"/>
  <c r="DH15" i="15" s="1"/>
  <c r="DF17" i="15"/>
  <c r="DH17" i="15" s="1"/>
  <c r="DF18" i="15"/>
  <c r="DH18" i="15" s="1"/>
  <c r="DF3" i="15"/>
  <c r="DH3" i="15" s="1"/>
  <c r="BY34" i="15"/>
  <c r="BY35" i="15"/>
  <c r="BY36" i="15"/>
  <c r="BY37" i="15"/>
  <c r="BY38" i="15"/>
  <c r="BY39" i="15"/>
  <c r="BY40" i="15"/>
  <c r="BY41" i="15"/>
  <c r="BY42" i="15"/>
  <c r="BY43" i="15"/>
  <c r="BY44" i="15"/>
  <c r="BY45" i="15"/>
  <c r="BY46" i="15"/>
  <c r="BY47" i="15"/>
  <c r="BY48" i="15"/>
  <c r="BY49" i="15"/>
  <c r="BY50" i="15"/>
  <c r="BY51" i="15"/>
  <c r="BY52" i="15"/>
  <c r="BY53" i="15"/>
  <c r="BY54" i="15"/>
  <c r="BY55" i="15"/>
  <c r="BY56" i="15"/>
  <c r="BY57" i="15"/>
  <c r="BY58" i="15"/>
  <c r="BY59" i="15"/>
  <c r="BY60" i="15"/>
  <c r="BY61" i="15"/>
  <c r="BY62" i="15"/>
  <c r="BY63" i="15"/>
  <c r="BY64" i="15"/>
  <c r="BY33" i="15"/>
  <c r="CV4" i="15"/>
  <c r="CW4" i="15"/>
  <c r="CV5" i="15"/>
  <c r="CW5" i="15"/>
  <c r="CV6" i="15"/>
  <c r="CW6" i="15"/>
  <c r="CV7" i="15"/>
  <c r="CW7" i="15"/>
  <c r="CV8" i="15"/>
  <c r="CW8" i="15"/>
  <c r="CV9" i="15"/>
  <c r="CW9" i="15"/>
  <c r="CV10" i="15"/>
  <c r="CW10" i="15"/>
  <c r="CV11" i="15"/>
  <c r="CW11" i="15"/>
  <c r="CV12" i="15"/>
  <c r="CW12" i="15"/>
  <c r="CV13" i="15"/>
  <c r="CW13" i="15"/>
  <c r="CV14" i="15"/>
  <c r="CW14" i="15"/>
  <c r="CV15" i="15"/>
  <c r="CW31" i="15" s="1"/>
  <c r="CW15" i="15"/>
  <c r="CV16" i="15"/>
  <c r="CW16" i="15"/>
  <c r="CV17" i="15"/>
  <c r="CW17" i="15"/>
  <c r="CV18" i="15"/>
  <c r="CW18" i="15"/>
  <c r="CV19" i="15"/>
  <c r="CW19" i="15"/>
  <c r="CV20" i="15"/>
  <c r="CW20" i="15"/>
  <c r="CV21" i="15"/>
  <c r="CW21" i="15"/>
  <c r="CV22" i="15"/>
  <c r="CW22" i="15"/>
  <c r="CW3" i="15"/>
  <c r="CV3" i="15"/>
  <c r="CX9" i="15"/>
  <c r="CX6" i="15"/>
  <c r="DC6" i="15" s="1"/>
  <c r="DI6" i="15" s="1"/>
  <c r="CS19" i="15"/>
  <c r="CS20" i="15"/>
  <c r="CS21" i="15"/>
  <c r="CS18" i="15"/>
  <c r="CS9" i="15"/>
  <c r="CY34" i="15" s="1"/>
  <c r="CS12" i="15"/>
  <c r="CY29" i="15" s="1"/>
  <c r="CS13" i="15"/>
  <c r="CS14" i="15"/>
  <c r="CS11" i="15"/>
  <c r="CY28" i="15" s="1"/>
  <c r="CS8" i="15"/>
  <c r="CS7" i="15"/>
  <c r="CS4" i="15"/>
  <c r="CS3" i="15"/>
  <c r="ET10" i="15" l="1"/>
  <c r="ER10" i="15"/>
  <c r="EM4" i="15"/>
  <c r="EJ14" i="15"/>
  <c r="EL14" i="15" s="1"/>
  <c r="EL20" i="15" s="1"/>
  <c r="R14" i="18"/>
  <c r="F14" i="18"/>
  <c r="G14" i="18" s="1"/>
  <c r="R12" i="18"/>
  <c r="F12" i="18"/>
  <c r="R11" i="18"/>
  <c r="F11" i="18"/>
  <c r="EN7" i="15"/>
  <c r="CX13" i="15"/>
  <c r="DC13" i="15" s="1"/>
  <c r="DI12" i="15" s="1"/>
  <c r="CX10" i="15"/>
  <c r="DC10" i="15" s="1"/>
  <c r="DI9" i="15" s="1"/>
  <c r="DJ9" i="15" s="1"/>
  <c r="DK9" i="15" s="1"/>
  <c r="DL9" i="15" s="1"/>
  <c r="DM9" i="15" s="1"/>
  <c r="CX7" i="15"/>
  <c r="DC7" i="15" s="1"/>
  <c r="CX4" i="15"/>
  <c r="DC4" i="15" s="1"/>
  <c r="DI4" i="15" s="1"/>
  <c r="DJ4" i="15" s="1"/>
  <c r="DK4" i="15" s="1"/>
  <c r="DL4" i="15" s="1"/>
  <c r="DM4" i="15" s="1"/>
  <c r="EN5" i="15"/>
  <c r="EL4" i="15"/>
  <c r="EL10" i="15" s="1"/>
  <c r="FC34" i="15" s="1"/>
  <c r="EJ10" i="15"/>
  <c r="D13" i="17" s="1"/>
  <c r="CW27" i="15"/>
  <c r="CX21" i="15"/>
  <c r="DC21" i="15" s="1"/>
  <c r="DI18" i="15" s="1"/>
  <c r="DJ18" i="15" s="1"/>
  <c r="CX18" i="15"/>
  <c r="DC18" i="15" s="1"/>
  <c r="DI16" i="15" s="1"/>
  <c r="CX12" i="15"/>
  <c r="DC12" i="15" s="1"/>
  <c r="DI11" i="15" s="1"/>
  <c r="DJ11" i="15" s="1"/>
  <c r="DK11" i="15" s="1"/>
  <c r="DL11" i="15" s="1"/>
  <c r="DM11" i="15" s="1"/>
  <c r="EJ20" i="15"/>
  <c r="I11" i="18" s="1"/>
  <c r="EK4" i="15"/>
  <c r="EL115" i="15"/>
  <c r="FB5" i="15" s="1"/>
  <c r="FE5" i="15" s="1"/>
  <c r="EM10" i="15"/>
  <c r="CX17" i="15"/>
  <c r="DC17" i="15" s="1"/>
  <c r="CX14" i="15"/>
  <c r="DC14" i="15" s="1"/>
  <c r="DI13" i="15" s="1"/>
  <c r="DJ13" i="15" s="1"/>
  <c r="CX11" i="15"/>
  <c r="DC11" i="15" s="1"/>
  <c r="DI10" i="15" s="1"/>
  <c r="DJ10" i="15" s="1"/>
  <c r="DK10" i="15" s="1"/>
  <c r="DL10" i="15" s="1"/>
  <c r="DM10" i="15" s="1"/>
  <c r="CX8" i="15"/>
  <c r="DC8" i="15" s="1"/>
  <c r="CX5" i="15"/>
  <c r="DC5" i="15" s="1"/>
  <c r="DI5" i="15" s="1"/>
  <c r="DJ5" i="15" s="1"/>
  <c r="DK5" i="15" s="1"/>
  <c r="DL5" i="15" s="1"/>
  <c r="DM5" i="15" s="1"/>
  <c r="CV24" i="15"/>
  <c r="CV25" i="15"/>
  <c r="DZ13" i="15"/>
  <c r="EA13" i="15" s="1"/>
  <c r="EL102" i="15"/>
  <c r="EP14" i="15" s="1"/>
  <c r="ES14" i="15" s="1"/>
  <c r="DZ18" i="15"/>
  <c r="EA18" i="15" s="1"/>
  <c r="DZ9" i="15"/>
  <c r="EA9" i="15" s="1"/>
  <c r="EL97" i="15"/>
  <c r="EP9" i="15" s="1"/>
  <c r="ES9" i="15" s="1"/>
  <c r="DZ5" i="15"/>
  <c r="EA5" i="15" s="1"/>
  <c r="DZ7" i="15"/>
  <c r="EA7" i="15" s="1"/>
  <c r="DZ12" i="15"/>
  <c r="EA12" i="15" s="1"/>
  <c r="DZ6" i="15"/>
  <c r="EA6" i="15" s="1"/>
  <c r="DZ11" i="15"/>
  <c r="EA11" i="15" s="1"/>
  <c r="DZ8" i="15"/>
  <c r="EA8" i="15" s="1"/>
  <c r="DZ17" i="15"/>
  <c r="EA17" i="15" s="1"/>
  <c r="DZ4" i="15"/>
  <c r="EA4" i="15" s="1"/>
  <c r="DZ10" i="15"/>
  <c r="EA10" i="15" s="1"/>
  <c r="DZ15" i="15"/>
  <c r="EA15" i="15" s="1"/>
  <c r="DZ3" i="15"/>
  <c r="EA3" i="15" s="1"/>
  <c r="DY21" i="15"/>
  <c r="DY20" i="15"/>
  <c r="DY19" i="15"/>
  <c r="EL100" i="15"/>
  <c r="EP12" i="15" s="1"/>
  <c r="CX27" i="15"/>
  <c r="EL125" i="15"/>
  <c r="EL110" i="15"/>
  <c r="EL111" i="15" s="1"/>
  <c r="EL124" i="15"/>
  <c r="EL94" i="15"/>
  <c r="EP6" i="15" s="1"/>
  <c r="EL123" i="15"/>
  <c r="EL92" i="15"/>
  <c r="EP4" i="15" s="1"/>
  <c r="EL117" i="15"/>
  <c r="EL103" i="15"/>
  <c r="EP15" i="15" s="1"/>
  <c r="CX15" i="15"/>
  <c r="DC15" i="15" s="1"/>
  <c r="DI14" i="15" s="1"/>
  <c r="CX31" i="15"/>
  <c r="CY31" i="15" s="1"/>
  <c r="EL120" i="15"/>
  <c r="FB10" i="15" s="1"/>
  <c r="FE10" i="15" s="1"/>
  <c r="EL119" i="15"/>
  <c r="EL96" i="15"/>
  <c r="EP8" i="15" s="1"/>
  <c r="EL114" i="15"/>
  <c r="FB4" i="15" s="1"/>
  <c r="EL118" i="15"/>
  <c r="EQ10" i="15"/>
  <c r="EL101" i="15"/>
  <c r="EP13" i="15" s="1"/>
  <c r="ES13" i="15" s="1"/>
  <c r="ER13" i="15" s="1"/>
  <c r="EL95" i="15"/>
  <c r="EP7" i="15" s="1"/>
  <c r="ES7" i="15" s="1"/>
  <c r="EL105" i="15"/>
  <c r="EP17" i="15" s="1"/>
  <c r="ES17" i="15" s="1"/>
  <c r="EL99" i="15"/>
  <c r="EP11" i="15" s="1"/>
  <c r="ES11" i="15" s="1"/>
  <c r="EL93" i="15"/>
  <c r="EL122" i="15"/>
  <c r="EL116" i="15"/>
  <c r="EL104" i="15"/>
  <c r="EP16" i="15" s="1"/>
  <c r="ES16" i="15" s="1"/>
  <c r="EL121" i="15"/>
  <c r="CW25" i="15"/>
  <c r="CV26" i="15"/>
  <c r="CX16" i="15"/>
  <c r="DC16" i="15" s="1"/>
  <c r="CX19" i="15"/>
  <c r="DC19" i="15" s="1"/>
  <c r="DJ6" i="15"/>
  <c r="DK6" i="15" s="1"/>
  <c r="DL6" i="15" s="1"/>
  <c r="DM6" i="15" s="1"/>
  <c r="DJ12" i="15"/>
  <c r="CS24" i="15"/>
  <c r="CA5" i="15"/>
  <c r="CS22" i="15"/>
  <c r="ED2" i="15" s="1"/>
  <c r="CS10" i="15"/>
  <c r="CS23" i="15"/>
  <c r="CS15" i="15"/>
  <c r="CS16" i="15" s="1"/>
  <c r="CA4" i="15"/>
  <c r="CX22" i="15"/>
  <c r="DF19" i="15"/>
  <c r="CW26" i="15"/>
  <c r="CX3" i="15"/>
  <c r="DC3" i="15" s="1"/>
  <c r="DI3" i="15" s="1"/>
  <c r="DJ3" i="15" s="1"/>
  <c r="CW24" i="15"/>
  <c r="CX20" i="15"/>
  <c r="DC20" i="15" s="1"/>
  <c r="DC9" i="15"/>
  <c r="DI8" i="15" s="1"/>
  <c r="DJ8" i="15" s="1"/>
  <c r="CS25" i="15"/>
  <c r="CS6" i="15"/>
  <c r="CS26" i="15"/>
  <c r="CS5" i="15"/>
  <c r="BZ77" i="15"/>
  <c r="CB77" i="15" s="1"/>
  <c r="BZ76" i="15"/>
  <c r="CB76" i="15" s="1"/>
  <c r="BZ75" i="15"/>
  <c r="CB75" i="15" s="1"/>
  <c r="BZ74" i="15"/>
  <c r="CB74" i="15" s="1"/>
  <c r="BZ73" i="15"/>
  <c r="CB73" i="15" s="1"/>
  <c r="BZ72" i="15"/>
  <c r="CB72" i="15" s="1"/>
  <c r="BZ71" i="15"/>
  <c r="CB71" i="15" s="1"/>
  <c r="CE65" i="15"/>
  <c r="CD64" i="15"/>
  <c r="CC64" i="15" s="1"/>
  <c r="CD63" i="15"/>
  <c r="CC63" i="15" s="1"/>
  <c r="CD62" i="15"/>
  <c r="CC62" i="15" s="1"/>
  <c r="CD61" i="15"/>
  <c r="CC61" i="15" s="1"/>
  <c r="CD60" i="15"/>
  <c r="CC60" i="15" s="1"/>
  <c r="CD59" i="15"/>
  <c r="CC59" i="15" s="1"/>
  <c r="CD58" i="15"/>
  <c r="CC58" i="15" s="1"/>
  <c r="CD57" i="15"/>
  <c r="CC57" i="15" s="1"/>
  <c r="CD56" i="15"/>
  <c r="CC56" i="15" s="1"/>
  <c r="CD55" i="15"/>
  <c r="CC55" i="15" s="1"/>
  <c r="CD54" i="15"/>
  <c r="CC54" i="15" s="1"/>
  <c r="CD53" i="15"/>
  <c r="CC53" i="15" s="1"/>
  <c r="CD52" i="15"/>
  <c r="CC52" i="15" s="1"/>
  <c r="CD51" i="15"/>
  <c r="CC51" i="15" s="1"/>
  <c r="CD50" i="15"/>
  <c r="CC50" i="15" s="1"/>
  <c r="CD49" i="15"/>
  <c r="CC49" i="15" s="1"/>
  <c r="CD48" i="15"/>
  <c r="CC48" i="15" s="1"/>
  <c r="CD47" i="15"/>
  <c r="CC47" i="15" s="1"/>
  <c r="CD46" i="15"/>
  <c r="CC46" i="15" s="1"/>
  <c r="CD45" i="15"/>
  <c r="CC45" i="15" s="1"/>
  <c r="CD44" i="15"/>
  <c r="CC44" i="15" s="1"/>
  <c r="CD43" i="15"/>
  <c r="CC43" i="15" s="1"/>
  <c r="CD42" i="15"/>
  <c r="CC42" i="15" s="1"/>
  <c r="CD41" i="15"/>
  <c r="CC41" i="15" s="1"/>
  <c r="CD40" i="15"/>
  <c r="CC40" i="15" s="1"/>
  <c r="CD39" i="15"/>
  <c r="CC39" i="15" s="1"/>
  <c r="CD38" i="15"/>
  <c r="CC38" i="15" s="1"/>
  <c r="CD37" i="15"/>
  <c r="CC37" i="15" s="1"/>
  <c r="CD36" i="15"/>
  <c r="CC36" i="15" s="1"/>
  <c r="CD35" i="15"/>
  <c r="CC35" i="15" s="1"/>
  <c r="CD34" i="15"/>
  <c r="CC34" i="15" s="1"/>
  <c r="CD33" i="15"/>
  <c r="CC33" i="15" s="1"/>
  <c r="FC31" i="15" l="1"/>
  <c r="FC52" i="15"/>
  <c r="FC49" i="15"/>
  <c r="FC43" i="15"/>
  <c r="FC40" i="15"/>
  <c r="FC37" i="15"/>
  <c r="ET16" i="15"/>
  <c r="ER16" i="15"/>
  <c r="ET11" i="15"/>
  <c r="ER11" i="15"/>
  <c r="ET9" i="15"/>
  <c r="ER9" i="15"/>
  <c r="ER7" i="15"/>
  <c r="ET7" i="15"/>
  <c r="FD10" i="15"/>
  <c r="FF10" i="15"/>
  <c r="ER14" i="15"/>
  <c r="ET14" i="15"/>
  <c r="J11" i="18"/>
  <c r="T11" i="18" s="1"/>
  <c r="ET17" i="15"/>
  <c r="ER17" i="15"/>
  <c r="FD5" i="15"/>
  <c r="FF5" i="15"/>
  <c r="CY27" i="15"/>
  <c r="CY30" i="15" s="1"/>
  <c r="CY32" i="15" s="1"/>
  <c r="CY35" i="15" s="1"/>
  <c r="D12" i="17"/>
  <c r="EK10" i="15"/>
  <c r="H12" i="17" s="1"/>
  <c r="EN4" i="15"/>
  <c r="D14" i="17"/>
  <c r="D15" i="17"/>
  <c r="E39" i="17"/>
  <c r="FB34" i="15"/>
  <c r="FD34" i="15" s="1"/>
  <c r="E38" i="17"/>
  <c r="FC4" i="15"/>
  <c r="FE4" i="15"/>
  <c r="FF4" i="15" s="1"/>
  <c r="G13" i="17"/>
  <c r="F12" i="17"/>
  <c r="E13" i="17"/>
  <c r="E14" i="17"/>
  <c r="E12" i="17"/>
  <c r="EW21" i="15"/>
  <c r="E15" i="17"/>
  <c r="CW28" i="15"/>
  <c r="CX28" i="15" s="1"/>
  <c r="CX24" i="15"/>
  <c r="DC24" i="15" s="1"/>
  <c r="DI7" i="15" s="1"/>
  <c r="DJ7" i="15" s="1"/>
  <c r="DK7" i="15" s="1"/>
  <c r="DL7" i="15" s="1"/>
  <c r="DM7" i="15" s="1"/>
  <c r="EQ9" i="15"/>
  <c r="EQ14" i="15"/>
  <c r="ES4" i="15"/>
  <c r="ES12" i="15"/>
  <c r="ES8" i="15"/>
  <c r="ES6" i="15"/>
  <c r="EQ15" i="15"/>
  <c r="ES15" i="15"/>
  <c r="FB15" i="15"/>
  <c r="EQ12" i="15"/>
  <c r="FB7" i="15"/>
  <c r="FE7" i="15" s="1"/>
  <c r="CX25" i="15"/>
  <c r="DC25" i="15" s="1"/>
  <c r="DI15" i="15" s="1"/>
  <c r="DJ15" i="15" s="1"/>
  <c r="DK15" i="15" s="1"/>
  <c r="DL15" i="15" s="1"/>
  <c r="DM15" i="15" s="1"/>
  <c r="EQ6" i="15"/>
  <c r="EQ8" i="15"/>
  <c r="FB13" i="15"/>
  <c r="FC10" i="15"/>
  <c r="EQ4" i="15"/>
  <c r="FB14" i="15"/>
  <c r="FE14" i="15" s="1"/>
  <c r="FB9" i="15"/>
  <c r="FE9" i="15" s="1"/>
  <c r="FB8" i="15"/>
  <c r="FE8" i="15" s="1"/>
  <c r="FB11" i="15"/>
  <c r="FE11" i="15" s="1"/>
  <c r="EL126" i="15"/>
  <c r="EQ17" i="15"/>
  <c r="EQ7" i="15"/>
  <c r="EQ11" i="15"/>
  <c r="EQ13" i="15"/>
  <c r="EQ16" i="15"/>
  <c r="FB6" i="15"/>
  <c r="FE6" i="15" s="1"/>
  <c r="FC5" i="15"/>
  <c r="FB12" i="15"/>
  <c r="FE12" i="15" s="1"/>
  <c r="EP5" i="15"/>
  <c r="ES5" i="15" s="1"/>
  <c r="EL106" i="15"/>
  <c r="ED9" i="15"/>
  <c r="EG9" i="15" s="1"/>
  <c r="ED15" i="15"/>
  <c r="EG15" i="15" s="1"/>
  <c r="EF15" i="15" s="1"/>
  <c r="ED4" i="15"/>
  <c r="EG4" i="15" s="1"/>
  <c r="EF4" i="15" s="1"/>
  <c r="ED10" i="15"/>
  <c r="EG10" i="15" s="1"/>
  <c r="ED16" i="15"/>
  <c r="EG16" i="15" s="1"/>
  <c r="ED5" i="15"/>
  <c r="EG5" i="15" s="1"/>
  <c r="ED11" i="15"/>
  <c r="EG11" i="15" s="1"/>
  <c r="ED17" i="15"/>
  <c r="EG17" i="15" s="1"/>
  <c r="EF17" i="15" s="1"/>
  <c r="ED6" i="15"/>
  <c r="EG6" i="15" s="1"/>
  <c r="ED12" i="15"/>
  <c r="EG12" i="15" s="1"/>
  <c r="ED18" i="15"/>
  <c r="EG18" i="15" s="1"/>
  <c r="ED7" i="15"/>
  <c r="EG7" i="15" s="1"/>
  <c r="ED13" i="15"/>
  <c r="EG13" i="15" s="1"/>
  <c r="ED19" i="15"/>
  <c r="EG19" i="15" s="1"/>
  <c r="ED8" i="15"/>
  <c r="EG8" i="15" s="1"/>
  <c r="ED14" i="15"/>
  <c r="EG14" i="15" s="1"/>
  <c r="CA6" i="15"/>
  <c r="DK8" i="15"/>
  <c r="DL8" i="15" s="1"/>
  <c r="DM8" i="15" s="1"/>
  <c r="DK3" i="15"/>
  <c r="DL3" i="15" s="1"/>
  <c r="DM3" i="15" s="1"/>
  <c r="DK13" i="15"/>
  <c r="DL13" i="15" s="1"/>
  <c r="DM13" i="15" s="1"/>
  <c r="DK18" i="15"/>
  <c r="DL18" i="15" s="1"/>
  <c r="DM18" i="15" s="1"/>
  <c r="DK12" i="15"/>
  <c r="DL12" i="15" s="1"/>
  <c r="DM12" i="15" s="1"/>
  <c r="CS17" i="15"/>
  <c r="BZ5" i="15"/>
  <c r="CB5" i="15" s="1"/>
  <c r="CD5" i="15" s="1"/>
  <c r="BZ4" i="15"/>
  <c r="CX26" i="15"/>
  <c r="DC26" i="15" s="1"/>
  <c r="DI17" i="15" s="1"/>
  <c r="DJ17" i="15" s="1"/>
  <c r="CC65" i="15"/>
  <c r="CB65" i="15" s="1"/>
  <c r="BZ78" i="15"/>
  <c r="CD65" i="15"/>
  <c r="FD6" i="15" l="1"/>
  <c r="FF6" i="15"/>
  <c r="ER12" i="15"/>
  <c r="ET12" i="15"/>
  <c r="E46" i="17"/>
  <c r="E44" i="17"/>
  <c r="E43" i="17"/>
  <c r="E45" i="17"/>
  <c r="FB37" i="15"/>
  <c r="EH11" i="15"/>
  <c r="EF11" i="15"/>
  <c r="FD11" i="15"/>
  <c r="FF11" i="15"/>
  <c r="ET4" i="15"/>
  <c r="ER4" i="15"/>
  <c r="FD8" i="15"/>
  <c r="FF8" i="15"/>
  <c r="E59" i="17"/>
  <c r="FB43" i="15"/>
  <c r="E60" i="17"/>
  <c r="E61" i="17"/>
  <c r="E58" i="17"/>
  <c r="EH9" i="15"/>
  <c r="EF9" i="15"/>
  <c r="E51" i="17"/>
  <c r="E50" i="17"/>
  <c r="E49" i="17"/>
  <c r="FB40" i="15"/>
  <c r="E48" i="17"/>
  <c r="EH5" i="15"/>
  <c r="EF5" i="15"/>
  <c r="I18" i="17"/>
  <c r="ER15" i="15"/>
  <c r="EH18" i="15"/>
  <c r="EF18" i="15"/>
  <c r="EH16" i="15"/>
  <c r="EF16" i="15"/>
  <c r="ET5" i="15"/>
  <c r="ER5" i="15"/>
  <c r="FD9" i="15"/>
  <c r="FF9" i="15"/>
  <c r="E64" i="17"/>
  <c r="E65" i="17"/>
  <c r="E63" i="17"/>
  <c r="E66" i="17"/>
  <c r="FB49" i="15"/>
  <c r="EH19" i="15"/>
  <c r="EF19" i="15"/>
  <c r="EH14" i="15"/>
  <c r="EF14" i="15"/>
  <c r="EH10" i="15"/>
  <c r="EF10" i="15"/>
  <c r="FD12" i="15"/>
  <c r="FF12" i="15"/>
  <c r="FD14" i="15"/>
  <c r="FF14" i="15"/>
  <c r="ER6" i="15"/>
  <c r="ET6" i="15"/>
  <c r="H13" i="17"/>
  <c r="U11" i="18"/>
  <c r="U17" i="18" s="1"/>
  <c r="T17" i="18"/>
  <c r="W11" i="18"/>
  <c r="E69" i="17"/>
  <c r="E71" i="17"/>
  <c r="E68" i="17"/>
  <c r="E70" i="17"/>
  <c r="FB52" i="15"/>
  <c r="EH13" i="15"/>
  <c r="EF13" i="15"/>
  <c r="FB16" i="15"/>
  <c r="EH7" i="15"/>
  <c r="EF7" i="15"/>
  <c r="EH12" i="15"/>
  <c r="EF12" i="15"/>
  <c r="EH8" i="15"/>
  <c r="EF8" i="15"/>
  <c r="EH6" i="15"/>
  <c r="EF6" i="15"/>
  <c r="FD7" i="15"/>
  <c r="FF7" i="15"/>
  <c r="ER8" i="15"/>
  <c r="ET8" i="15"/>
  <c r="E36" i="17"/>
  <c r="E41" i="17"/>
  <c r="E34" i="17"/>
  <c r="E35" i="17"/>
  <c r="E40" i="17"/>
  <c r="E33" i="17"/>
  <c r="G12" i="17"/>
  <c r="FB32" i="15"/>
  <c r="FE34" i="15" s="1"/>
  <c r="D41" i="17"/>
  <c r="D40" i="17"/>
  <c r="D39" i="17"/>
  <c r="D38" i="17"/>
  <c r="EN10" i="15"/>
  <c r="AM12" i="17" s="1"/>
  <c r="FD4" i="15"/>
  <c r="FC13" i="15"/>
  <c r="FE13" i="15"/>
  <c r="FF13" i="15" s="1"/>
  <c r="I17" i="17"/>
  <c r="FC15" i="15"/>
  <c r="FE15" i="15"/>
  <c r="E25" i="17"/>
  <c r="E24" i="17"/>
  <c r="CW29" i="15"/>
  <c r="CX29" i="15" s="1"/>
  <c r="CX30" i="15" s="1"/>
  <c r="CX32" i="15" s="1"/>
  <c r="CX33" i="15" s="1"/>
  <c r="I10" i="17"/>
  <c r="I9" i="17"/>
  <c r="ES18" i="15"/>
  <c r="FC7" i="15"/>
  <c r="EH4" i="15"/>
  <c r="EG20" i="15"/>
  <c r="CY33" i="15"/>
  <c r="CY36" i="15" s="1"/>
  <c r="FC9" i="15"/>
  <c r="FC14" i="15"/>
  <c r="FC8" i="15"/>
  <c r="EQ5" i="15"/>
  <c r="EQ18" i="15" s="1"/>
  <c r="FC67" i="15" s="1"/>
  <c r="ER18" i="15"/>
  <c r="EP18" i="15"/>
  <c r="FC6" i="15"/>
  <c r="FC11" i="15"/>
  <c r="FC12" i="15"/>
  <c r="EE7" i="15"/>
  <c r="EE5" i="15"/>
  <c r="EE18" i="15"/>
  <c r="EE16" i="15"/>
  <c r="EE14" i="15"/>
  <c r="EE12" i="15"/>
  <c r="EE10" i="15"/>
  <c r="EE8" i="15"/>
  <c r="EE6" i="15"/>
  <c r="EE4" i="15"/>
  <c r="EE19" i="15"/>
  <c r="EE17" i="15"/>
  <c r="EE15" i="15"/>
  <c r="EE13" i="15"/>
  <c r="EE11" i="15"/>
  <c r="EE9" i="15"/>
  <c r="DK17" i="15"/>
  <c r="DL17" i="15" s="1"/>
  <c r="DM17" i="15" s="1"/>
  <c r="BZ6" i="15"/>
  <c r="CB6" i="15" s="1"/>
  <c r="CB4" i="15"/>
  <c r="CD4" i="15" s="1"/>
  <c r="CB78" i="15"/>
  <c r="CA78" i="15" s="1"/>
  <c r="CA65" i="15"/>
  <c r="BQ4" i="15"/>
  <c r="BR4" i="15"/>
  <c r="BS4" i="15"/>
  <c r="BT4" i="15"/>
  <c r="BU4" i="15"/>
  <c r="BV4" i="15"/>
  <c r="BQ5" i="15"/>
  <c r="BR5" i="15"/>
  <c r="BS5" i="15"/>
  <c r="BT5" i="15"/>
  <c r="BU5" i="15"/>
  <c r="BV5" i="15"/>
  <c r="BQ6" i="15"/>
  <c r="BR6" i="15"/>
  <c r="BS6" i="15"/>
  <c r="BT6" i="15"/>
  <c r="BU6" i="15"/>
  <c r="BV6" i="15"/>
  <c r="BQ7" i="15"/>
  <c r="BR7" i="15"/>
  <c r="BS7" i="15"/>
  <c r="BT7" i="15"/>
  <c r="BU7" i="15"/>
  <c r="BV7" i="15"/>
  <c r="BQ8" i="15"/>
  <c r="BR8" i="15"/>
  <c r="BS8" i="15"/>
  <c r="BT8" i="15"/>
  <c r="BU8" i="15"/>
  <c r="BV8" i="15"/>
  <c r="BQ9" i="15"/>
  <c r="BR9" i="15"/>
  <c r="BS9" i="15"/>
  <c r="BT9" i="15"/>
  <c r="BU9" i="15"/>
  <c r="BV9" i="15"/>
  <c r="BQ10" i="15"/>
  <c r="BR10" i="15"/>
  <c r="BS10" i="15"/>
  <c r="BT10" i="15"/>
  <c r="BU10" i="15"/>
  <c r="BV10" i="15"/>
  <c r="BQ11" i="15"/>
  <c r="BR11" i="15"/>
  <c r="BS11" i="15"/>
  <c r="BT11" i="15"/>
  <c r="BU11" i="15"/>
  <c r="BV11" i="15"/>
  <c r="BQ12" i="15"/>
  <c r="BR12" i="15"/>
  <c r="BS12" i="15"/>
  <c r="BT12" i="15"/>
  <c r="BU12" i="15"/>
  <c r="BV12" i="15"/>
  <c r="BQ13" i="15"/>
  <c r="BR13" i="15"/>
  <c r="BS13" i="15"/>
  <c r="BT13" i="15"/>
  <c r="BU13" i="15"/>
  <c r="BV13" i="15"/>
  <c r="BQ14" i="15"/>
  <c r="BR14" i="15"/>
  <c r="BS14" i="15"/>
  <c r="BT14" i="15"/>
  <c r="BU14" i="15"/>
  <c r="BV14" i="15"/>
  <c r="BR3" i="15"/>
  <c r="BS3" i="15"/>
  <c r="BT3" i="15"/>
  <c r="BU3" i="15"/>
  <c r="BV3" i="15"/>
  <c r="BQ3" i="15"/>
  <c r="ES19" i="15" l="1"/>
  <c r="I13" i="18" s="1"/>
  <c r="J13" i="18" s="1"/>
  <c r="T13" i="18" s="1"/>
  <c r="FD49" i="15"/>
  <c r="D64" i="17"/>
  <c r="D65" i="17"/>
  <c r="FB47" i="15"/>
  <c r="D66" i="17"/>
  <c r="FE49" i="15"/>
  <c r="D63" i="17"/>
  <c r="D49" i="17"/>
  <c r="D48" i="17"/>
  <c r="FB38" i="15"/>
  <c r="FE40" i="15" s="1"/>
  <c r="D51" i="17"/>
  <c r="FD40" i="15"/>
  <c r="D50" i="17"/>
  <c r="D46" i="17"/>
  <c r="FD37" i="15"/>
  <c r="D44" i="17"/>
  <c r="FB35" i="15"/>
  <c r="FE37" i="15" s="1"/>
  <c r="D45" i="17"/>
  <c r="D43" i="17"/>
  <c r="D68" i="17"/>
  <c r="FB50" i="15"/>
  <c r="D69" i="17"/>
  <c r="D70" i="17"/>
  <c r="FE52" i="15"/>
  <c r="FD52" i="15"/>
  <c r="D71" i="17"/>
  <c r="V11" i="18"/>
  <c r="V17" i="18" s="1"/>
  <c r="FE43" i="15"/>
  <c r="D59" i="17"/>
  <c r="D60" i="17"/>
  <c r="D58" i="17"/>
  <c r="FD43" i="15"/>
  <c r="D61" i="17"/>
  <c r="FB41" i="15"/>
  <c r="FF34" i="15"/>
  <c r="F39" i="17"/>
  <c r="F38" i="17"/>
  <c r="E74" i="17"/>
  <c r="E75" i="17"/>
  <c r="E76" i="17"/>
  <c r="E73" i="17"/>
  <c r="FC63" i="15"/>
  <c r="FB63" i="15" s="1"/>
  <c r="FD63" i="15" s="1"/>
  <c r="FC61" i="15"/>
  <c r="FB61" i="15" s="1"/>
  <c r="FD61" i="15" s="1"/>
  <c r="FC64" i="15"/>
  <c r="FB64" i="15" s="1"/>
  <c r="FD64" i="15" s="1"/>
  <c r="FC66" i="15"/>
  <c r="FB66" i="15" s="1"/>
  <c r="FD66" i="15" s="1"/>
  <c r="FC62" i="15"/>
  <c r="FB62" i="15" s="1"/>
  <c r="FD62" i="15" s="1"/>
  <c r="FC65" i="15"/>
  <c r="FB65" i="15" s="1"/>
  <c r="FD65" i="15" s="1"/>
  <c r="H39" i="17"/>
  <c r="H38" i="17"/>
  <c r="AM13" i="17"/>
  <c r="AL13" i="17" s="1"/>
  <c r="FE16" i="15"/>
  <c r="H21" i="17" s="1"/>
  <c r="CW30" i="15"/>
  <c r="CW32" i="15" s="1"/>
  <c r="CW33" i="15" s="1"/>
  <c r="FC16" i="15"/>
  <c r="E20" i="17" s="1"/>
  <c r="F18" i="17"/>
  <c r="F17" i="17"/>
  <c r="E18" i="17"/>
  <c r="E17" i="17"/>
  <c r="Q12" i="17"/>
  <c r="AK12" i="17"/>
  <c r="AL12" i="17"/>
  <c r="D21" i="17"/>
  <c r="D20" i="17"/>
  <c r="H10" i="17"/>
  <c r="H9" i="17"/>
  <c r="FD15" i="15"/>
  <c r="FF15" i="15"/>
  <c r="FD13" i="15"/>
  <c r="D18" i="17"/>
  <c r="D17" i="17"/>
  <c r="H18" i="17"/>
  <c r="H17" i="17"/>
  <c r="EW25" i="15"/>
  <c r="FC46" i="15" s="1"/>
  <c r="EW16" i="15"/>
  <c r="CC6" i="15"/>
  <c r="CD6" i="15"/>
  <c r="CE5" i="15" s="1"/>
  <c r="BQ15" i="15"/>
  <c r="BQ16" i="15"/>
  <c r="BE6" i="15"/>
  <c r="BF6" i="15"/>
  <c r="BG6" i="15"/>
  <c r="BE7" i="15"/>
  <c r="BF7" i="15"/>
  <c r="BH7" i="15"/>
  <c r="BE8" i="15"/>
  <c r="BF8" i="15"/>
  <c r="BG8" i="15"/>
  <c r="BH8" i="15"/>
  <c r="BF5" i="15"/>
  <c r="BG5" i="15"/>
  <c r="BH5" i="15"/>
  <c r="BE5" i="15"/>
  <c r="BF26" i="15"/>
  <c r="BG26" i="15"/>
  <c r="BH26" i="15"/>
  <c r="BI26" i="15"/>
  <c r="BE26" i="15"/>
  <c r="BF25" i="15"/>
  <c r="BG25" i="15"/>
  <c r="BH25" i="15"/>
  <c r="BI25" i="15"/>
  <c r="BE25" i="15"/>
  <c r="H59" i="17" l="1"/>
  <c r="H58" i="17"/>
  <c r="H48" i="17"/>
  <c r="H49" i="17"/>
  <c r="F44" i="17"/>
  <c r="G44" i="17" s="1"/>
  <c r="FF37" i="15"/>
  <c r="F43" i="17"/>
  <c r="F58" i="17"/>
  <c r="G58" i="17" s="1"/>
  <c r="FF43" i="15"/>
  <c r="F59" i="17"/>
  <c r="G59" i="17" s="1"/>
  <c r="FF52" i="15"/>
  <c r="F68" i="17"/>
  <c r="F69" i="17"/>
  <c r="FF49" i="15"/>
  <c r="F64" i="17"/>
  <c r="F63" i="17"/>
  <c r="H69" i="17"/>
  <c r="H68" i="17"/>
  <c r="FF40" i="15"/>
  <c r="F49" i="17"/>
  <c r="F48" i="17"/>
  <c r="G48" i="17" s="1"/>
  <c r="H63" i="17"/>
  <c r="H64" i="17"/>
  <c r="W13" i="18"/>
  <c r="U13" i="18"/>
  <c r="U19" i="18" s="1"/>
  <c r="T19" i="18"/>
  <c r="V13" i="18"/>
  <c r="V19" i="18" s="1"/>
  <c r="H44" i="17"/>
  <c r="H43" i="17"/>
  <c r="FE17" i="15"/>
  <c r="I12" i="18" s="1"/>
  <c r="E21" i="17"/>
  <c r="Q13" i="17"/>
  <c r="AK13" i="17"/>
  <c r="FD16" i="15"/>
  <c r="F21" i="17" s="1"/>
  <c r="G21" i="17" s="1"/>
  <c r="FE62" i="15"/>
  <c r="FF62" i="15"/>
  <c r="FE66" i="15"/>
  <c r="FF66" i="15"/>
  <c r="FC58" i="15"/>
  <c r="FC55" i="15"/>
  <c r="FE64" i="15"/>
  <c r="FF64" i="15"/>
  <c r="E54" i="17"/>
  <c r="E55" i="17"/>
  <c r="E56" i="17"/>
  <c r="FB46" i="15"/>
  <c r="FD46" i="15" s="1"/>
  <c r="E53" i="17"/>
  <c r="H20" i="17"/>
  <c r="FB67" i="15"/>
  <c r="FE61" i="15"/>
  <c r="G38" i="17"/>
  <c r="FE63" i="15"/>
  <c r="FF63" i="15"/>
  <c r="G39" i="17"/>
  <c r="FE65" i="15"/>
  <c r="FF65" i="15"/>
  <c r="AM39" i="17"/>
  <c r="AM38" i="17"/>
  <c r="FF16" i="15"/>
  <c r="AM20" i="17" s="1"/>
  <c r="G17" i="17"/>
  <c r="E31" i="17"/>
  <c r="E30" i="17"/>
  <c r="EV25" i="15"/>
  <c r="EY25" i="15" s="1"/>
  <c r="EZ25" i="15" s="1"/>
  <c r="E28" i="17"/>
  <c r="E27" i="17"/>
  <c r="G18" i="17"/>
  <c r="EW20" i="15"/>
  <c r="EV20" i="15" s="1"/>
  <c r="EW19" i="15"/>
  <c r="EV19" i="15" s="1"/>
  <c r="DG16" i="15"/>
  <c r="DH16" i="15" s="1"/>
  <c r="CE4" i="15"/>
  <c r="BH27" i="15"/>
  <c r="BI8" i="15"/>
  <c r="F40" i="12" s="1"/>
  <c r="BI5" i="15"/>
  <c r="F37" i="12" s="1"/>
  <c r="BI27" i="15"/>
  <c r="BF9" i="15"/>
  <c r="BQ17" i="15"/>
  <c r="F31" i="12" s="1"/>
  <c r="BE9" i="15"/>
  <c r="BE27" i="15"/>
  <c r="BH6" i="15" s="1"/>
  <c r="BI6" i="15" s="1"/>
  <c r="BG27" i="15"/>
  <c r="BG7" i="15" s="1"/>
  <c r="BG9" i="15" s="1"/>
  <c r="BF27" i="15"/>
  <c r="AT8" i="15"/>
  <c r="AU8" i="15"/>
  <c r="G21" i="12" s="1"/>
  <c r="AT9" i="15"/>
  <c r="AU9" i="15"/>
  <c r="G22" i="12" s="1"/>
  <c r="AT10" i="15"/>
  <c r="AU10" i="15"/>
  <c r="G23" i="12" s="1"/>
  <c r="AT11" i="15"/>
  <c r="AU11" i="15"/>
  <c r="G24" i="12" s="1"/>
  <c r="AT12" i="15"/>
  <c r="AU12" i="15"/>
  <c r="AT13" i="15"/>
  <c r="AU13" i="15"/>
  <c r="AT14" i="15"/>
  <c r="AU14" i="15"/>
  <c r="AT15" i="15"/>
  <c r="AU15" i="15"/>
  <c r="AT16" i="15"/>
  <c r="AU16" i="15"/>
  <c r="AT7" i="15"/>
  <c r="AU7" i="15"/>
  <c r="G20" i="12" s="1"/>
  <c r="F7" i="15"/>
  <c r="AS8" i="15"/>
  <c r="E21" i="12" s="1"/>
  <c r="AS9" i="15"/>
  <c r="E22" i="12" s="1"/>
  <c r="AS10" i="15"/>
  <c r="E23" i="12" s="1"/>
  <c r="AS11" i="15"/>
  <c r="E24" i="12" s="1"/>
  <c r="AS12" i="15"/>
  <c r="AS13" i="15"/>
  <c r="AS14" i="15"/>
  <c r="AS15" i="15"/>
  <c r="AS16" i="15"/>
  <c r="AS7" i="15"/>
  <c r="E20" i="12" s="1"/>
  <c r="B8" i="13"/>
  <c r="K13" i="16"/>
  <c r="K12" i="16"/>
  <c r="K11" i="16"/>
  <c r="K10" i="16"/>
  <c r="K9" i="16"/>
  <c r="L9" i="16"/>
  <c r="G9" i="16" s="1"/>
  <c r="L12" i="16"/>
  <c r="G12" i="16" s="1"/>
  <c r="K8" i="16"/>
  <c r="K7" i="16"/>
  <c r="J13" i="16"/>
  <c r="L13" i="16" s="1"/>
  <c r="G13" i="16" s="1"/>
  <c r="J11" i="16"/>
  <c r="L11" i="16" s="1"/>
  <c r="G11" i="16" s="1"/>
  <c r="J9" i="16"/>
  <c r="J7" i="16"/>
  <c r="L7" i="16" s="1"/>
  <c r="G7" i="16" s="1"/>
  <c r="J10" i="16"/>
  <c r="L10" i="16" s="1"/>
  <c r="G10" i="16" s="1"/>
  <c r="J12" i="16"/>
  <c r="J8" i="16"/>
  <c r="L8" i="16" s="1"/>
  <c r="G8" i="16" s="1"/>
  <c r="D14" i="16"/>
  <c r="B7" i="13" s="1"/>
  <c r="B10" i="13" s="1"/>
  <c r="E14" i="16"/>
  <c r="F14" i="16"/>
  <c r="B9" i="13" s="1"/>
  <c r="C14" i="16"/>
  <c r="B6" i="13" s="1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6" i="15"/>
  <c r="AI7" i="15"/>
  <c r="AI8" i="15"/>
  <c r="AI9" i="15"/>
  <c r="AI10" i="15"/>
  <c r="AI11" i="15"/>
  <c r="AI12" i="15"/>
  <c r="AI13" i="15"/>
  <c r="AI14" i="15"/>
  <c r="AI15" i="15"/>
  <c r="AI16" i="15"/>
  <c r="AI17" i="15"/>
  <c r="AI18" i="15"/>
  <c r="AI19" i="15"/>
  <c r="AI20" i="15"/>
  <c r="AI21" i="15"/>
  <c r="AI22" i="15"/>
  <c r="AI23" i="15"/>
  <c r="AI6" i="15"/>
  <c r="AG7" i="15"/>
  <c r="AH7" i="15" s="1"/>
  <c r="AG8" i="15"/>
  <c r="AH8" i="15" s="1"/>
  <c r="AG9" i="15"/>
  <c r="AH9" i="15" s="1"/>
  <c r="AG10" i="15"/>
  <c r="AG11" i="15"/>
  <c r="AH11" i="15" s="1"/>
  <c r="AG12" i="15"/>
  <c r="AH12" i="15" s="1"/>
  <c r="AG13" i="15"/>
  <c r="AH13" i="15" s="1"/>
  <c r="AG14" i="15"/>
  <c r="AH14" i="15" s="1"/>
  <c r="AG15" i="15"/>
  <c r="AH15" i="15" s="1"/>
  <c r="AG16" i="15"/>
  <c r="AH16" i="15" s="1"/>
  <c r="AG17" i="15"/>
  <c r="AH17" i="15" s="1"/>
  <c r="AG18" i="15"/>
  <c r="AH18" i="15" s="1"/>
  <c r="AG19" i="15"/>
  <c r="AH19" i="15" s="1"/>
  <c r="AG20" i="15"/>
  <c r="AH20" i="15" s="1"/>
  <c r="AG21" i="15"/>
  <c r="AH21" i="15" s="1"/>
  <c r="AG22" i="15"/>
  <c r="AH22" i="15" s="1"/>
  <c r="AG23" i="15"/>
  <c r="AH23" i="15" s="1"/>
  <c r="AG6" i="15"/>
  <c r="AH6" i="15" s="1"/>
  <c r="B20" i="12" s="1"/>
  <c r="X7" i="15"/>
  <c r="B27" i="12" s="1"/>
  <c r="X8" i="15"/>
  <c r="B28" i="12" s="1"/>
  <c r="X9" i="15"/>
  <c r="B29" i="12" s="1"/>
  <c r="X10" i="15"/>
  <c r="B30" i="12" s="1"/>
  <c r="X11" i="15"/>
  <c r="B31" i="12" s="1"/>
  <c r="X12" i="15"/>
  <c r="B32" i="12" s="1"/>
  <c r="X13" i="15"/>
  <c r="B33" i="12" s="1"/>
  <c r="X14" i="15"/>
  <c r="B34" i="12" s="1"/>
  <c r="X15" i="15"/>
  <c r="B35" i="12" s="1"/>
  <c r="X16" i="15"/>
  <c r="B36" i="12" s="1"/>
  <c r="X17" i="15"/>
  <c r="B37" i="12" s="1"/>
  <c r="X18" i="15"/>
  <c r="B38" i="12" s="1"/>
  <c r="X19" i="15"/>
  <c r="X20" i="15"/>
  <c r="B40" i="12" s="1"/>
  <c r="X21" i="15"/>
  <c r="B41" i="12" s="1"/>
  <c r="X22" i="15"/>
  <c r="B42" i="12" s="1"/>
  <c r="X23" i="15"/>
  <c r="B43" i="12" s="1"/>
  <c r="X24" i="15"/>
  <c r="B44" i="12" s="1"/>
  <c r="X6" i="15"/>
  <c r="B26" i="12" s="1"/>
  <c r="U6" i="15"/>
  <c r="V6" i="15"/>
  <c r="W6" i="15"/>
  <c r="T6" i="15"/>
  <c r="W24" i="15"/>
  <c r="V24" i="15"/>
  <c r="U24" i="15"/>
  <c r="T24" i="15"/>
  <c r="W23" i="15"/>
  <c r="V23" i="15"/>
  <c r="U23" i="15"/>
  <c r="T23" i="15"/>
  <c r="W22" i="15"/>
  <c r="V22" i="15"/>
  <c r="U22" i="15"/>
  <c r="T22" i="15"/>
  <c r="W21" i="15"/>
  <c r="V21" i="15"/>
  <c r="U21" i="15"/>
  <c r="T21" i="15"/>
  <c r="W20" i="15"/>
  <c r="V20" i="15"/>
  <c r="U20" i="15"/>
  <c r="T20" i="15"/>
  <c r="W19" i="15"/>
  <c r="V19" i="15"/>
  <c r="U19" i="15"/>
  <c r="T19" i="15"/>
  <c r="W18" i="15"/>
  <c r="V18" i="15"/>
  <c r="U18" i="15"/>
  <c r="T18" i="15"/>
  <c r="W17" i="15"/>
  <c r="V17" i="15"/>
  <c r="U17" i="15"/>
  <c r="T17" i="15"/>
  <c r="W16" i="15"/>
  <c r="V16" i="15"/>
  <c r="U16" i="15"/>
  <c r="T16" i="15"/>
  <c r="W15" i="15"/>
  <c r="V15" i="15"/>
  <c r="U15" i="15"/>
  <c r="T15" i="15"/>
  <c r="W14" i="15"/>
  <c r="V14" i="15"/>
  <c r="U14" i="15"/>
  <c r="T14" i="15"/>
  <c r="W13" i="15"/>
  <c r="V13" i="15"/>
  <c r="U13" i="15"/>
  <c r="T13" i="15"/>
  <c r="W12" i="15"/>
  <c r="V12" i="15"/>
  <c r="U12" i="15"/>
  <c r="T12" i="15"/>
  <c r="W11" i="15"/>
  <c r="V11" i="15"/>
  <c r="U11" i="15"/>
  <c r="T11" i="15"/>
  <c r="W10" i="15"/>
  <c r="V10" i="15"/>
  <c r="U10" i="15"/>
  <c r="T10" i="15"/>
  <c r="W9" i="15"/>
  <c r="V9" i="15"/>
  <c r="U9" i="15"/>
  <c r="T9" i="15"/>
  <c r="W8" i="15"/>
  <c r="V8" i="15"/>
  <c r="U8" i="15"/>
  <c r="T8" i="15"/>
  <c r="W7" i="15"/>
  <c r="V7" i="15"/>
  <c r="U7" i="15"/>
  <c r="T7" i="15"/>
  <c r="H8" i="15"/>
  <c r="G9" i="12" s="1"/>
  <c r="F8" i="15"/>
  <c r="E9" i="12" s="1"/>
  <c r="H7" i="15"/>
  <c r="G8" i="12" s="1"/>
  <c r="E8" i="12"/>
  <c r="F9" i="15"/>
  <c r="E10" i="12" s="1"/>
  <c r="F10" i="15"/>
  <c r="E11" i="12" s="1"/>
  <c r="F11" i="15"/>
  <c r="E12" i="12" s="1"/>
  <c r="H9" i="15"/>
  <c r="G10" i="12" s="1"/>
  <c r="H10" i="15"/>
  <c r="G11" i="12" s="1"/>
  <c r="H11" i="15"/>
  <c r="G12" i="12" s="1"/>
  <c r="H16" i="15"/>
  <c r="G16" i="15"/>
  <c r="F16" i="15"/>
  <c r="H15" i="15"/>
  <c r="G15" i="15"/>
  <c r="F15" i="15"/>
  <c r="H14" i="15"/>
  <c r="G14" i="15"/>
  <c r="F14" i="15"/>
  <c r="H13" i="15"/>
  <c r="G13" i="15"/>
  <c r="F13" i="15"/>
  <c r="H12" i="15"/>
  <c r="G12" i="15"/>
  <c r="F12" i="15"/>
  <c r="G11" i="15"/>
  <c r="G10" i="15"/>
  <c r="G9" i="15"/>
  <c r="G8" i="15"/>
  <c r="G7" i="15"/>
  <c r="AG10" i="14"/>
  <c r="M8" i="13" s="1"/>
  <c r="AG11" i="14"/>
  <c r="M10" i="13" s="1"/>
  <c r="AG12" i="14"/>
  <c r="G55" i="12" s="1"/>
  <c r="AG13" i="14"/>
  <c r="AG14" i="14"/>
  <c r="AG15" i="14"/>
  <c r="AG16" i="14"/>
  <c r="I23" i="11" s="1"/>
  <c r="AG17" i="14"/>
  <c r="AG18" i="14"/>
  <c r="AG19" i="14"/>
  <c r="AG20" i="14"/>
  <c r="AG21" i="14"/>
  <c r="AG22" i="14"/>
  <c r="AG23" i="14"/>
  <c r="G54" i="12" s="1"/>
  <c r="AG24" i="14"/>
  <c r="K23" i="11" s="1"/>
  <c r="AG25" i="14"/>
  <c r="AG26" i="14"/>
  <c r="AG9" i="14"/>
  <c r="M9" i="13" s="1"/>
  <c r="AG8" i="14"/>
  <c r="AG7" i="14"/>
  <c r="AG6" i="14"/>
  <c r="E23" i="11" s="1"/>
  <c r="I29" i="11" s="1"/>
  <c r="X6" i="14"/>
  <c r="X7" i="14"/>
  <c r="X26" i="14" s="1"/>
  <c r="X8" i="14"/>
  <c r="X9" i="14"/>
  <c r="X10" i="14"/>
  <c r="X11" i="14"/>
  <c r="X12" i="14"/>
  <c r="X13" i="14"/>
  <c r="B30" i="11" s="1"/>
  <c r="X14" i="14"/>
  <c r="X15" i="14"/>
  <c r="X16" i="14"/>
  <c r="B33" i="11" s="1"/>
  <c r="X17" i="14"/>
  <c r="X18" i="14"/>
  <c r="X19" i="14"/>
  <c r="B36" i="11" s="1"/>
  <c r="X20" i="14"/>
  <c r="X21" i="14"/>
  <c r="X22" i="14"/>
  <c r="B39" i="11" s="1"/>
  <c r="X23" i="14"/>
  <c r="X24" i="14"/>
  <c r="X25" i="14"/>
  <c r="B42" i="11" s="1"/>
  <c r="B25" i="11"/>
  <c r="B26" i="11"/>
  <c r="B27" i="11"/>
  <c r="B28" i="11"/>
  <c r="B29" i="11"/>
  <c r="B31" i="11"/>
  <c r="B32" i="11"/>
  <c r="B34" i="11"/>
  <c r="B35" i="11"/>
  <c r="B38" i="11"/>
  <c r="B40" i="11"/>
  <c r="B41" i="11"/>
  <c r="B23" i="11"/>
  <c r="T7" i="14"/>
  <c r="U7" i="14"/>
  <c r="V7" i="14"/>
  <c r="W7" i="14"/>
  <c r="T8" i="14"/>
  <c r="U8" i="14"/>
  <c r="V8" i="14"/>
  <c r="W8" i="14"/>
  <c r="T9" i="14"/>
  <c r="U9" i="14"/>
  <c r="V9" i="14"/>
  <c r="W9" i="14"/>
  <c r="T10" i="14"/>
  <c r="U10" i="14"/>
  <c r="V10" i="14"/>
  <c r="W10" i="14"/>
  <c r="T11" i="14"/>
  <c r="U11" i="14"/>
  <c r="V11" i="14"/>
  <c r="W11" i="14"/>
  <c r="T12" i="14"/>
  <c r="U12" i="14"/>
  <c r="V12" i="14"/>
  <c r="W12" i="14"/>
  <c r="T13" i="14"/>
  <c r="U13" i="14"/>
  <c r="V13" i="14"/>
  <c r="W13" i="14"/>
  <c r="T14" i="14"/>
  <c r="U14" i="14"/>
  <c r="V14" i="14"/>
  <c r="W14" i="14"/>
  <c r="T15" i="14"/>
  <c r="U15" i="14"/>
  <c r="V15" i="14"/>
  <c r="W15" i="14"/>
  <c r="T16" i="14"/>
  <c r="U16" i="14"/>
  <c r="V16" i="14"/>
  <c r="W16" i="14"/>
  <c r="T17" i="14"/>
  <c r="U17" i="14"/>
  <c r="V17" i="14"/>
  <c r="W17" i="14"/>
  <c r="T18" i="14"/>
  <c r="U18" i="14"/>
  <c r="V18" i="14"/>
  <c r="W18" i="14"/>
  <c r="T19" i="14"/>
  <c r="U19" i="14"/>
  <c r="V19" i="14"/>
  <c r="W19" i="14"/>
  <c r="T20" i="14"/>
  <c r="U20" i="14"/>
  <c r="V20" i="14"/>
  <c r="W20" i="14"/>
  <c r="T21" i="14"/>
  <c r="U21" i="14"/>
  <c r="V21" i="14"/>
  <c r="W21" i="14"/>
  <c r="T22" i="14"/>
  <c r="U22" i="14"/>
  <c r="V22" i="14"/>
  <c r="W22" i="14"/>
  <c r="T23" i="14"/>
  <c r="U23" i="14"/>
  <c r="V23" i="14"/>
  <c r="W23" i="14"/>
  <c r="T24" i="14"/>
  <c r="U24" i="14"/>
  <c r="V24" i="14"/>
  <c r="W24" i="14"/>
  <c r="T25" i="14"/>
  <c r="U25" i="14"/>
  <c r="V25" i="14"/>
  <c r="W25" i="14"/>
  <c r="U6" i="14"/>
  <c r="V6" i="14"/>
  <c r="W6" i="14"/>
  <c r="T6" i="14"/>
  <c r="F13" i="14"/>
  <c r="K9" i="11"/>
  <c r="H13" i="14"/>
  <c r="M9" i="11" s="1"/>
  <c r="L9" i="11" s="1"/>
  <c r="F14" i="14"/>
  <c r="K10" i="11" s="1"/>
  <c r="H14" i="14"/>
  <c r="M10" i="11" s="1"/>
  <c r="F15" i="14"/>
  <c r="K11" i="11" s="1"/>
  <c r="H15" i="14"/>
  <c r="M11" i="11" s="1"/>
  <c r="F16" i="14"/>
  <c r="K12" i="11" s="1"/>
  <c r="H16" i="14"/>
  <c r="M12" i="11" s="1"/>
  <c r="L12" i="11" s="1"/>
  <c r="H12" i="14"/>
  <c r="M8" i="11"/>
  <c r="F12" i="14"/>
  <c r="K8" i="11" s="1"/>
  <c r="F8" i="14"/>
  <c r="H9" i="11"/>
  <c r="H8" i="14"/>
  <c r="J9" i="11"/>
  <c r="F9" i="14"/>
  <c r="H10" i="11" s="1"/>
  <c r="H9" i="14"/>
  <c r="J10" i="11"/>
  <c r="F10" i="14"/>
  <c r="H11" i="11"/>
  <c r="H10" i="14"/>
  <c r="J11" i="11" s="1"/>
  <c r="F11" i="14"/>
  <c r="H12" i="11"/>
  <c r="H11" i="14"/>
  <c r="J12" i="11"/>
  <c r="H7" i="14"/>
  <c r="J8" i="11" s="1"/>
  <c r="F7" i="14"/>
  <c r="H8" i="11"/>
  <c r="G16" i="14"/>
  <c r="G15" i="14"/>
  <c r="G14" i="14"/>
  <c r="G13" i="14"/>
  <c r="G12" i="14"/>
  <c r="G11" i="14"/>
  <c r="G10" i="14"/>
  <c r="G9" i="14"/>
  <c r="G8" i="14"/>
  <c r="G7" i="14"/>
  <c r="B8" i="11"/>
  <c r="B8" i="12"/>
  <c r="U25" i="11"/>
  <c r="U26" i="11"/>
  <c r="U27" i="11"/>
  <c r="U28" i="11"/>
  <c r="U29" i="11"/>
  <c r="U30" i="11"/>
  <c r="U31" i="11"/>
  <c r="U24" i="11"/>
  <c r="E4" i="2"/>
  <c r="E5" i="2"/>
  <c r="E6" i="2"/>
  <c r="E7" i="2"/>
  <c r="E13" i="2" s="1"/>
  <c r="D13" i="2" s="1"/>
  <c r="E8" i="2"/>
  <c r="E9" i="2"/>
  <c r="E10" i="2"/>
  <c r="E11" i="2"/>
  <c r="E12" i="2"/>
  <c r="C13" i="2"/>
  <c r="B11" i="13" l="1"/>
  <c r="B22" i="13"/>
  <c r="B25" i="13" s="1"/>
  <c r="G14" i="16"/>
  <c r="B23" i="13" s="1"/>
  <c r="B24" i="13" s="1"/>
  <c r="B26" i="13" s="1"/>
  <c r="B14" i="13" s="1"/>
  <c r="H13" i="11"/>
  <c r="I12" i="11"/>
  <c r="J12" i="18"/>
  <c r="T12" i="18" s="1"/>
  <c r="I14" i="18"/>
  <c r="J14" i="18" s="1"/>
  <c r="T14" i="18" s="1"/>
  <c r="G68" i="17"/>
  <c r="AM44" i="17"/>
  <c r="AM43" i="17"/>
  <c r="B24" i="11"/>
  <c r="AG5" i="14"/>
  <c r="AG3" i="14" s="1"/>
  <c r="K26" i="11" s="1"/>
  <c r="I26" i="11" s="1"/>
  <c r="E24" i="11" s="1"/>
  <c r="B46" i="11" s="1"/>
  <c r="AM69" i="17"/>
  <c r="AM68" i="17"/>
  <c r="AG29" i="14"/>
  <c r="F36" i="11" s="1"/>
  <c r="G63" i="17"/>
  <c r="G64" i="17"/>
  <c r="AM58" i="17"/>
  <c r="AM59" i="17"/>
  <c r="G49" i="17"/>
  <c r="AM64" i="17"/>
  <c r="AM63" i="17"/>
  <c r="AM48" i="17"/>
  <c r="AM49" i="17"/>
  <c r="G69" i="17"/>
  <c r="G43" i="17"/>
  <c r="L11" i="11"/>
  <c r="L10" i="11"/>
  <c r="F20" i="17"/>
  <c r="AK20" i="17" s="1"/>
  <c r="AM21" i="17"/>
  <c r="AL21" i="17" s="1"/>
  <c r="Q39" i="17"/>
  <c r="AL39" i="17"/>
  <c r="AK39" i="17"/>
  <c r="D56" i="17"/>
  <c r="D53" i="17"/>
  <c r="D54" i="17"/>
  <c r="D55" i="17"/>
  <c r="FE46" i="15"/>
  <c r="FB44" i="15"/>
  <c r="E79" i="17"/>
  <c r="E80" i="17"/>
  <c r="E81" i="17"/>
  <c r="E78" i="17"/>
  <c r="FB55" i="15"/>
  <c r="FF61" i="15"/>
  <c r="FD67" i="15"/>
  <c r="E85" i="17"/>
  <c r="E86" i="17"/>
  <c r="FB58" i="15"/>
  <c r="FD58" i="15" s="1"/>
  <c r="E83" i="17"/>
  <c r="E84" i="17"/>
  <c r="D73" i="17"/>
  <c r="D75" i="17"/>
  <c r="D76" i="17"/>
  <c r="D74" i="17"/>
  <c r="FB59" i="15"/>
  <c r="FE67" i="15"/>
  <c r="Q38" i="17"/>
  <c r="AL38" i="17"/>
  <c r="AK38" i="17"/>
  <c r="AH10" i="15"/>
  <c r="EX25" i="15"/>
  <c r="F27" i="17" s="1"/>
  <c r="H28" i="17"/>
  <c r="H27" i="17"/>
  <c r="D28" i="17"/>
  <c r="D27" i="17"/>
  <c r="Q20" i="17"/>
  <c r="AL20" i="17"/>
  <c r="EY19" i="15"/>
  <c r="EX19" i="15" s="1"/>
  <c r="EV21" i="15"/>
  <c r="EY20" i="15"/>
  <c r="EX20" i="15" s="1"/>
  <c r="DZ16" i="15"/>
  <c r="EA16" i="15" s="1"/>
  <c r="K13" i="11"/>
  <c r="B43" i="11"/>
  <c r="I9" i="11"/>
  <c r="I11" i="11"/>
  <c r="I10" i="11"/>
  <c r="L8" i="11"/>
  <c r="M12" i="13"/>
  <c r="G56" i="12"/>
  <c r="B59" i="12" s="1"/>
  <c r="B49" i="11"/>
  <c r="AG28" i="14"/>
  <c r="F35" i="11" s="1"/>
  <c r="M13" i="11"/>
  <c r="I8" i="11"/>
  <c r="AG27" i="14"/>
  <c r="F34" i="11" s="1"/>
  <c r="M11" i="13"/>
  <c r="J23" i="11"/>
  <c r="N23" i="11" s="1"/>
  <c r="J13" i="11"/>
  <c r="AG30" i="14"/>
  <c r="F37" i="11" s="1"/>
  <c r="DJ16" i="15"/>
  <c r="DG14" i="15"/>
  <c r="DH14" i="15" s="1"/>
  <c r="CE6" i="15"/>
  <c r="BH9" i="15"/>
  <c r="F38" i="12"/>
  <c r="BI7" i="15"/>
  <c r="F39" i="12" s="1"/>
  <c r="AL21" i="15"/>
  <c r="AL15" i="15"/>
  <c r="AL9" i="15"/>
  <c r="G25" i="12"/>
  <c r="AL20" i="15"/>
  <c r="AL14" i="15"/>
  <c r="AL8" i="15"/>
  <c r="X25" i="15"/>
  <c r="AL19" i="15"/>
  <c r="AL13" i="15"/>
  <c r="AL6" i="15"/>
  <c r="AL18" i="15"/>
  <c r="AL12" i="15"/>
  <c r="AL23" i="15"/>
  <c r="AL17" i="15"/>
  <c r="AL11" i="15"/>
  <c r="F20" i="12"/>
  <c r="AL22" i="15"/>
  <c r="AL16" i="15"/>
  <c r="AL10" i="15"/>
  <c r="AT18" i="15"/>
  <c r="F21" i="12"/>
  <c r="B45" i="12"/>
  <c r="B49" i="12" s="1"/>
  <c r="B50" i="12" s="1"/>
  <c r="G13" i="12"/>
  <c r="F8" i="12"/>
  <c r="E25" i="12"/>
  <c r="E13" i="12"/>
  <c r="F9" i="12"/>
  <c r="AK49" i="17" l="1"/>
  <c r="Q49" i="17"/>
  <c r="AL49" i="17"/>
  <c r="AL58" i="17"/>
  <c r="Q58" i="17"/>
  <c r="AK58" i="17"/>
  <c r="W12" i="18"/>
  <c r="T18" i="18"/>
  <c r="U12" i="18"/>
  <c r="U18" i="18" s="1"/>
  <c r="V12" i="18"/>
  <c r="V18" i="18" s="1"/>
  <c r="AK48" i="17"/>
  <c r="Q48" i="17"/>
  <c r="AL48" i="17"/>
  <c r="C21" i="17"/>
  <c r="C20" i="17"/>
  <c r="Q63" i="17"/>
  <c r="AK63" i="17"/>
  <c r="AL63" i="17"/>
  <c r="AK43" i="17"/>
  <c r="Q43" i="17"/>
  <c r="AL43" i="17"/>
  <c r="Q64" i="17"/>
  <c r="AK64" i="17"/>
  <c r="AL64" i="17"/>
  <c r="C79" i="17"/>
  <c r="C85" i="17"/>
  <c r="C28" i="17"/>
  <c r="C84" i="17"/>
  <c r="C27" i="17"/>
  <c r="C83" i="17"/>
  <c r="C81" i="17"/>
  <c r="C78" i="17"/>
  <c r="C31" i="17"/>
  <c r="C18" i="17"/>
  <c r="C25" i="17" s="1"/>
  <c r="C86" i="17"/>
  <c r="C30" i="17"/>
  <c r="C17" i="17"/>
  <c r="C24" i="17" s="1"/>
  <c r="C80" i="17"/>
  <c r="Q44" i="17"/>
  <c r="AL44" i="17"/>
  <c r="AK44" i="17"/>
  <c r="AK68" i="17"/>
  <c r="AL68" i="17"/>
  <c r="Q68" i="17"/>
  <c r="C73" i="17"/>
  <c r="C74" i="17"/>
  <c r="C59" i="17"/>
  <c r="C48" i="17"/>
  <c r="C33" i="17"/>
  <c r="C69" i="17"/>
  <c r="C56" i="17"/>
  <c r="C39" i="17"/>
  <c r="C68" i="17"/>
  <c r="C53" i="17"/>
  <c r="C38" i="17"/>
  <c r="C66" i="17"/>
  <c r="C44" i="17"/>
  <c r="C76" i="17"/>
  <c r="C61" i="17"/>
  <c r="C43" i="17"/>
  <c r="C12" i="17"/>
  <c r="C75" i="17"/>
  <c r="C60" i="17"/>
  <c r="C49" i="17"/>
  <c r="C34" i="17"/>
  <c r="C50" i="17"/>
  <c r="C41" i="17"/>
  <c r="C65" i="17"/>
  <c r="C55" i="17"/>
  <c r="C46" i="17"/>
  <c r="C13" i="17"/>
  <c r="C70" i="17"/>
  <c r="C51" i="17"/>
  <c r="C40" i="17"/>
  <c r="C54" i="17"/>
  <c r="C63" i="17"/>
  <c r="C35" i="17"/>
  <c r="C14" i="17"/>
  <c r="C64" i="17"/>
  <c r="C15" i="17"/>
  <c r="C45" i="17"/>
  <c r="C36" i="17"/>
  <c r="C71" i="17"/>
  <c r="C58" i="17"/>
  <c r="C10" i="17"/>
  <c r="E25" i="11"/>
  <c r="C9" i="17"/>
  <c r="G20" i="17"/>
  <c r="Q59" i="17"/>
  <c r="AK59" i="17"/>
  <c r="AL59" i="17"/>
  <c r="AK69" i="17"/>
  <c r="Q69" i="17"/>
  <c r="AL69" i="17"/>
  <c r="X14" i="18"/>
  <c r="U14" i="18"/>
  <c r="U20" i="18" s="1"/>
  <c r="T20" i="18"/>
  <c r="W14" i="18"/>
  <c r="AG85" i="17"/>
  <c r="AH83" i="17"/>
  <c r="AG79" i="17"/>
  <c r="AI79" i="17" s="1"/>
  <c r="P79" i="17" s="1"/>
  <c r="AG76" i="17"/>
  <c r="AG70" i="17"/>
  <c r="AH64" i="17"/>
  <c r="AH61" i="17"/>
  <c r="AG58" i="17"/>
  <c r="AH55" i="17"/>
  <c r="AG49" i="17"/>
  <c r="AG45" i="17"/>
  <c r="AH43" i="17"/>
  <c r="AG41" i="17"/>
  <c r="AG39" i="17"/>
  <c r="AH35" i="17"/>
  <c r="AH33" i="17"/>
  <c r="AG31" i="17"/>
  <c r="AH28" i="17"/>
  <c r="AH21" i="17"/>
  <c r="AH18" i="17"/>
  <c r="AH13" i="17"/>
  <c r="AG15" i="17"/>
  <c r="AH86" i="17"/>
  <c r="AG83" i="17"/>
  <c r="AH80" i="17"/>
  <c r="AH74" i="17"/>
  <c r="AH71" i="17"/>
  <c r="AH68" i="17"/>
  <c r="AG64" i="17"/>
  <c r="AI64" i="17" s="1"/>
  <c r="P64" i="17" s="1"/>
  <c r="AG61" i="17"/>
  <c r="AG55" i="17"/>
  <c r="AH53" i="17"/>
  <c r="AH50" i="17"/>
  <c r="AH46" i="17"/>
  <c r="AG43" i="17"/>
  <c r="AI43" i="17" s="1"/>
  <c r="P43" i="17" s="1"/>
  <c r="AG35" i="17"/>
  <c r="AG33" i="17"/>
  <c r="AI33" i="17" s="1"/>
  <c r="P33" i="17" s="1"/>
  <c r="AG28" i="17"/>
  <c r="AI28" i="17" s="1"/>
  <c r="P28" i="17" s="1"/>
  <c r="AH20" i="17"/>
  <c r="AH17" i="17"/>
  <c r="AH14" i="17"/>
  <c r="AG12" i="17"/>
  <c r="AG86" i="17"/>
  <c r="AI86" i="17" s="1"/>
  <c r="P86" i="17" s="1"/>
  <c r="AG80" i="17"/>
  <c r="AI80" i="17" s="1"/>
  <c r="P80" i="17" s="1"/>
  <c r="AH78" i="17"/>
  <c r="AG74" i="17"/>
  <c r="AG71" i="17"/>
  <c r="AG68" i="17"/>
  <c r="AI68" i="17" s="1"/>
  <c r="P68" i="17" s="1"/>
  <c r="AH65" i="17"/>
  <c r="AH59" i="17"/>
  <c r="AH56" i="17"/>
  <c r="AG53" i="17"/>
  <c r="AG50" i="17"/>
  <c r="AH48" i="17"/>
  <c r="AG46" i="17"/>
  <c r="AI46" i="17" s="1"/>
  <c r="P46" i="17" s="1"/>
  <c r="AH40" i="17"/>
  <c r="AH38" i="17"/>
  <c r="AG30" i="17"/>
  <c r="AH27" i="17"/>
  <c r="AH25" i="17"/>
  <c r="AG21" i="17"/>
  <c r="AI21" i="17" s="1"/>
  <c r="P21" i="17" s="1"/>
  <c r="AG18" i="17"/>
  <c r="AI18" i="17" s="1"/>
  <c r="P18" i="17" s="1"/>
  <c r="AH15" i="17"/>
  <c r="AH84" i="17"/>
  <c r="AH81" i="17"/>
  <c r="AG78" i="17"/>
  <c r="AH75" i="17"/>
  <c r="AH69" i="17"/>
  <c r="AG65" i="17"/>
  <c r="AI65" i="17" s="1"/>
  <c r="P65" i="17" s="1"/>
  <c r="AH63" i="17"/>
  <c r="AG59" i="17"/>
  <c r="AG56" i="17"/>
  <c r="AH51" i="17"/>
  <c r="AG48" i="17"/>
  <c r="AI48" i="17" s="1"/>
  <c r="P48" i="17" s="1"/>
  <c r="AH44" i="17"/>
  <c r="AG40" i="17"/>
  <c r="AG38" i="17"/>
  <c r="AH36" i="17"/>
  <c r="AH34" i="17"/>
  <c r="AG27" i="17"/>
  <c r="AI27" i="17" s="1"/>
  <c r="P27" i="17" s="1"/>
  <c r="AG25" i="17"/>
  <c r="AI25" i="17" s="1"/>
  <c r="P25" i="17" s="1"/>
  <c r="AG20" i="17"/>
  <c r="AG17" i="17"/>
  <c r="AI17" i="17" s="1"/>
  <c r="P17" i="17" s="1"/>
  <c r="AH12" i="17"/>
  <c r="AG84" i="17"/>
  <c r="AI84" i="17" s="1"/>
  <c r="P84" i="17" s="1"/>
  <c r="AG81" i="17"/>
  <c r="AI81" i="17" s="1"/>
  <c r="P81" i="17" s="1"/>
  <c r="AG75" i="17"/>
  <c r="AI75" i="17" s="1"/>
  <c r="P75" i="17" s="1"/>
  <c r="AH73" i="17"/>
  <c r="AG69" i="17"/>
  <c r="AH66" i="17"/>
  <c r="AG63" i="17"/>
  <c r="AI63" i="17" s="1"/>
  <c r="P63" i="17" s="1"/>
  <c r="AH60" i="17"/>
  <c r="AH54" i="17"/>
  <c r="AG51" i="17"/>
  <c r="AG44" i="17"/>
  <c r="AG36" i="17"/>
  <c r="AI36" i="17" s="1"/>
  <c r="P36" i="17" s="1"/>
  <c r="AG34" i="17"/>
  <c r="AI34" i="17" s="1"/>
  <c r="P34" i="17" s="1"/>
  <c r="AH31" i="17"/>
  <c r="AH24" i="17"/>
  <c r="AG13" i="17"/>
  <c r="AH85" i="17"/>
  <c r="AH79" i="17"/>
  <c r="AH76" i="17"/>
  <c r="AG73" i="17"/>
  <c r="AI73" i="17" s="1"/>
  <c r="P73" i="17" s="1"/>
  <c r="AH70" i="17"/>
  <c r="AG66" i="17"/>
  <c r="AI66" i="17" s="1"/>
  <c r="P66" i="17" s="1"/>
  <c r="AG60" i="17"/>
  <c r="AH58" i="17"/>
  <c r="AG54" i="17"/>
  <c r="AH49" i="17"/>
  <c r="AH45" i="17"/>
  <c r="AH41" i="17"/>
  <c r="AH39" i="17"/>
  <c r="AH30" i="17"/>
  <c r="AG24" i="17"/>
  <c r="AG14" i="17"/>
  <c r="AI14" i="17" s="1"/>
  <c r="P14" i="17" s="1"/>
  <c r="U60" i="17"/>
  <c r="U30" i="17"/>
  <c r="U75" i="17"/>
  <c r="U83" i="17"/>
  <c r="U27" i="17"/>
  <c r="U12" i="17"/>
  <c r="U14" i="17"/>
  <c r="U73" i="17"/>
  <c r="U53" i="17"/>
  <c r="U33" i="17"/>
  <c r="U85" i="17"/>
  <c r="U78" i="17"/>
  <c r="U48" i="17"/>
  <c r="U40" i="17"/>
  <c r="U35" i="17"/>
  <c r="U17" i="17"/>
  <c r="U20" i="17"/>
  <c r="U43" i="17"/>
  <c r="U38" i="17"/>
  <c r="U68" i="17"/>
  <c r="U80" i="17"/>
  <c r="U24" i="17"/>
  <c r="U55" i="17"/>
  <c r="U65" i="17"/>
  <c r="U70" i="17"/>
  <c r="U45" i="17"/>
  <c r="U58" i="17"/>
  <c r="U50" i="17"/>
  <c r="U9" i="17"/>
  <c r="U63" i="17"/>
  <c r="L13" i="11"/>
  <c r="B10" i="11" s="1"/>
  <c r="AK21" i="17"/>
  <c r="Q21" i="17"/>
  <c r="F28" i="17"/>
  <c r="FF67" i="15"/>
  <c r="F74" i="17"/>
  <c r="F73" i="17"/>
  <c r="H74" i="17"/>
  <c r="H73" i="17"/>
  <c r="D78" i="17"/>
  <c r="D79" i="17"/>
  <c r="FF55" i="15"/>
  <c r="D80" i="17"/>
  <c r="FD55" i="15"/>
  <c r="D81" i="17"/>
  <c r="FE55" i="15"/>
  <c r="FB53" i="15"/>
  <c r="H54" i="17"/>
  <c r="H53" i="17"/>
  <c r="FF58" i="15"/>
  <c r="D86" i="17"/>
  <c r="FE58" i="15"/>
  <c r="D84" i="17"/>
  <c r="FB56" i="15"/>
  <c r="D83" i="17"/>
  <c r="D85" i="17"/>
  <c r="FF46" i="15"/>
  <c r="F54" i="17"/>
  <c r="F53" i="17"/>
  <c r="G28" i="17"/>
  <c r="AM28" i="17"/>
  <c r="AM27" i="17"/>
  <c r="EZ20" i="15"/>
  <c r="G27" i="17"/>
  <c r="EV17" i="15"/>
  <c r="D25" i="17"/>
  <c r="D24" i="17"/>
  <c r="EX21" i="15"/>
  <c r="EY21" i="15"/>
  <c r="EH17" i="15"/>
  <c r="ET15" i="15"/>
  <c r="DZ14" i="15"/>
  <c r="EA14" i="15" s="1"/>
  <c r="EZ19" i="15" s="1"/>
  <c r="N13" i="13"/>
  <c r="I13" i="11"/>
  <c r="B11" i="11"/>
  <c r="B50" i="11"/>
  <c r="C49" i="11"/>
  <c r="L23" i="11"/>
  <c r="DK16" i="15"/>
  <c r="DL16" i="15" s="1"/>
  <c r="DM16" i="15" s="1"/>
  <c r="DH19" i="15"/>
  <c r="DJ14" i="15"/>
  <c r="BI9" i="15"/>
  <c r="F41" i="12"/>
  <c r="C49" i="12" s="1"/>
  <c r="C50" i="12" s="1"/>
  <c r="C51" i="12" s="1"/>
  <c r="AD18" i="17" s="1"/>
  <c r="F25" i="12"/>
  <c r="C14" i="12" s="1"/>
  <c r="B9" i="12"/>
  <c r="B14" i="12" s="1"/>
  <c r="B15" i="12" s="1"/>
  <c r="B16" i="12" s="1"/>
  <c r="F13" i="12"/>
  <c r="B51" i="12"/>
  <c r="AI39" i="17" l="1"/>
  <c r="P39" i="17" s="1"/>
  <c r="AI58" i="17"/>
  <c r="P58" i="17" s="1"/>
  <c r="AI24" i="17"/>
  <c r="P24" i="17" s="1"/>
  <c r="AI54" i="17"/>
  <c r="P54" i="17" s="1"/>
  <c r="AI55" i="17"/>
  <c r="P55" i="17" s="1"/>
  <c r="AI41" i="17"/>
  <c r="P41" i="17" s="1"/>
  <c r="AI85" i="17"/>
  <c r="P85" i="17" s="1"/>
  <c r="AI56" i="17"/>
  <c r="P56" i="17" s="1"/>
  <c r="AI78" i="17"/>
  <c r="P78" i="17" s="1"/>
  <c r="AI12" i="17"/>
  <c r="P12" i="17" s="1"/>
  <c r="AI35" i="17"/>
  <c r="P35" i="17" s="1"/>
  <c r="AI61" i="17"/>
  <c r="P61" i="17" s="1"/>
  <c r="AI83" i="17"/>
  <c r="P83" i="17" s="1"/>
  <c r="V14" i="18"/>
  <c r="V20" i="18" s="1"/>
  <c r="B15" i="11"/>
  <c r="AI60" i="17"/>
  <c r="P60" i="17" s="1"/>
  <c r="AI44" i="17"/>
  <c r="P44" i="17" s="1"/>
  <c r="AI69" i="17"/>
  <c r="P69" i="17" s="1"/>
  <c r="AI38" i="17"/>
  <c r="P38" i="17" s="1"/>
  <c r="AI59" i="17"/>
  <c r="P59" i="17" s="1"/>
  <c r="AI50" i="17"/>
  <c r="P50" i="17" s="1"/>
  <c r="AI71" i="17"/>
  <c r="P71" i="17" s="1"/>
  <c r="AI31" i="17"/>
  <c r="P31" i="17" s="1"/>
  <c r="AI45" i="17"/>
  <c r="P45" i="17" s="1"/>
  <c r="AI70" i="17"/>
  <c r="P70" i="17" s="1"/>
  <c r="AI13" i="17"/>
  <c r="P13" i="17" s="1"/>
  <c r="AI51" i="17"/>
  <c r="P51" i="17" s="1"/>
  <c r="AI20" i="17"/>
  <c r="P20" i="17" s="1"/>
  <c r="AI40" i="17"/>
  <c r="P40" i="17" s="1"/>
  <c r="AI30" i="17"/>
  <c r="P30" i="17" s="1"/>
  <c r="AI53" i="17"/>
  <c r="P53" i="17" s="1"/>
  <c r="AI74" i="17"/>
  <c r="P74" i="17" s="1"/>
  <c r="AI15" i="17"/>
  <c r="P15" i="17" s="1"/>
  <c r="AI49" i="17"/>
  <c r="P49" i="17" s="1"/>
  <c r="AI76" i="17"/>
  <c r="P76" i="17" s="1"/>
  <c r="T48" i="17"/>
  <c r="T38" i="17"/>
  <c r="T51" i="17"/>
  <c r="T63" i="17"/>
  <c r="T49" i="17"/>
  <c r="T36" i="17"/>
  <c r="T9" i="17"/>
  <c r="T56" i="17"/>
  <c r="T55" i="17"/>
  <c r="T41" i="17"/>
  <c r="T69" i="17"/>
  <c r="T65" i="17"/>
  <c r="T76" i="17"/>
  <c r="T31" i="17"/>
  <c r="T79" i="17"/>
  <c r="T75" i="17"/>
  <c r="T78" i="17"/>
  <c r="T71" i="17"/>
  <c r="T58" i="17"/>
  <c r="T45" i="17"/>
  <c r="T59" i="17"/>
  <c r="T27" i="17"/>
  <c r="T80" i="17"/>
  <c r="T17" i="17"/>
  <c r="T13" i="17"/>
  <c r="T73" i="17"/>
  <c r="T66" i="17"/>
  <c r="T60" i="17"/>
  <c r="T34" i="17"/>
  <c r="T15" i="17"/>
  <c r="T28" i="17"/>
  <c r="T54" i="17"/>
  <c r="T81" i="17"/>
  <c r="T12" i="17"/>
  <c r="T21" i="17"/>
  <c r="T43" i="17"/>
  <c r="T83" i="17"/>
  <c r="T30" i="17"/>
  <c r="T39" i="17"/>
  <c r="T18" i="17"/>
  <c r="T70" i="17"/>
  <c r="T33" i="17"/>
  <c r="T85" i="17"/>
  <c r="T68" i="17"/>
  <c r="T86" i="17"/>
  <c r="T50" i="17"/>
  <c r="T44" i="17"/>
  <c r="T84" i="17"/>
  <c r="T74" i="17"/>
  <c r="T61" i="17"/>
  <c r="T53" i="17"/>
  <c r="T10" i="17"/>
  <c r="T64" i="17"/>
  <c r="T35" i="17"/>
  <c r="T46" i="17"/>
  <c r="T14" i="17"/>
  <c r="T25" i="17"/>
  <c r="T20" i="17"/>
  <c r="T40" i="17"/>
  <c r="T24" i="17"/>
  <c r="B12" i="13"/>
  <c r="B13" i="13" s="1"/>
  <c r="B15" i="13" s="1"/>
  <c r="AH9" i="17"/>
  <c r="AG10" i="17"/>
  <c r="AG9" i="17"/>
  <c r="AI9" i="17" s="1"/>
  <c r="P9" i="17" s="1"/>
  <c r="AH10" i="17"/>
  <c r="F84" i="17"/>
  <c r="F83" i="17"/>
  <c r="G73" i="17"/>
  <c r="AM84" i="17"/>
  <c r="AM83" i="17"/>
  <c r="F78" i="17"/>
  <c r="G78" i="17" s="1"/>
  <c r="F79" i="17"/>
  <c r="G53" i="17"/>
  <c r="AM78" i="17"/>
  <c r="AM79" i="17"/>
  <c r="G74" i="17"/>
  <c r="AM54" i="17"/>
  <c r="AM53" i="17"/>
  <c r="H79" i="17"/>
  <c r="H78" i="17"/>
  <c r="EZ21" i="15"/>
  <c r="C59" i="12" s="1"/>
  <c r="G54" i="17"/>
  <c r="H83" i="17"/>
  <c r="H84" i="17"/>
  <c r="AM74" i="17"/>
  <c r="AM73" i="17"/>
  <c r="Z73" i="17"/>
  <c r="Z69" i="17"/>
  <c r="Z75" i="17"/>
  <c r="Z60" i="17"/>
  <c r="Z39" i="17"/>
  <c r="Z79" i="17"/>
  <c r="Z58" i="17"/>
  <c r="Z46" i="17"/>
  <c r="Z78" i="17"/>
  <c r="Z65" i="17"/>
  <c r="Z80" i="17"/>
  <c r="Z45" i="17"/>
  <c r="Z86" i="17"/>
  <c r="Z49" i="17"/>
  <c r="Z70" i="17"/>
  <c r="Z51" i="17"/>
  <c r="Z83" i="17"/>
  <c r="Z84" i="17"/>
  <c r="Z48" i="17"/>
  <c r="Z44" i="17"/>
  <c r="Z56" i="17"/>
  <c r="Z38" i="17"/>
  <c r="Z74" i="17"/>
  <c r="Z54" i="17"/>
  <c r="Z40" i="17"/>
  <c r="Z41" i="17"/>
  <c r="Z53" i="17"/>
  <c r="Z76" i="17"/>
  <c r="Z66" i="17"/>
  <c r="Z50" i="17"/>
  <c r="Z81" i="17"/>
  <c r="Z61" i="17"/>
  <c r="Z43" i="17"/>
  <c r="Z63" i="17"/>
  <c r="Z71" i="17"/>
  <c r="Z55" i="17"/>
  <c r="Z85" i="17"/>
  <c r="Z64" i="17"/>
  <c r="Z68" i="17"/>
  <c r="Z59" i="17"/>
  <c r="Y27" i="17"/>
  <c r="Y58" i="17"/>
  <c r="Y76" i="17"/>
  <c r="Y69" i="17"/>
  <c r="Y55" i="17"/>
  <c r="Y48" i="17"/>
  <c r="Y38" i="17"/>
  <c r="Y39" i="17"/>
  <c r="Y79" i="17"/>
  <c r="Y41" i="17"/>
  <c r="Y46" i="17"/>
  <c r="AA46" i="17" s="1"/>
  <c r="N46" i="17" s="1"/>
  <c r="Y75" i="17"/>
  <c r="Y54" i="17"/>
  <c r="Y84" i="17"/>
  <c r="AA84" i="17" s="1"/>
  <c r="N84" i="17" s="1"/>
  <c r="Y66" i="17"/>
  <c r="Y86" i="17"/>
  <c r="Y49" i="17"/>
  <c r="AA49" i="17" s="1"/>
  <c r="N49" i="17" s="1"/>
  <c r="Y68" i="17"/>
  <c r="Y71" i="17"/>
  <c r="Y50" i="17"/>
  <c r="Y78" i="17"/>
  <c r="Y65" i="17"/>
  <c r="Y63" i="17"/>
  <c r="Y53" i="17"/>
  <c r="Y44" i="17"/>
  <c r="Y56" i="17"/>
  <c r="Y74" i="17"/>
  <c r="Y43" i="17"/>
  <c r="Y61" i="17"/>
  <c r="Y81" i="17"/>
  <c r="Y80" i="17"/>
  <c r="Y51" i="17"/>
  <c r="Y64" i="17"/>
  <c r="Y45" i="17"/>
  <c r="AA45" i="17" s="1"/>
  <c r="N45" i="17" s="1"/>
  <c r="Y70" i="17"/>
  <c r="AA70" i="17" s="1"/>
  <c r="N70" i="17" s="1"/>
  <c r="Y60" i="17"/>
  <c r="Y59" i="17"/>
  <c r="Y40" i="17"/>
  <c r="Y83" i="17"/>
  <c r="Y85" i="17"/>
  <c r="AA85" i="17" s="1"/>
  <c r="N85" i="17" s="1"/>
  <c r="Y73" i="17"/>
  <c r="AA73" i="17" s="1"/>
  <c r="N73" i="17" s="1"/>
  <c r="AD10" i="17"/>
  <c r="AD9" i="17"/>
  <c r="AD17" i="17"/>
  <c r="Z12" i="17"/>
  <c r="Z15" i="17"/>
  <c r="Z13" i="17"/>
  <c r="Z14" i="17"/>
  <c r="Z20" i="17"/>
  <c r="Z18" i="17"/>
  <c r="Z21" i="17"/>
  <c r="Z17" i="17"/>
  <c r="Q27" i="17"/>
  <c r="AL27" i="17"/>
  <c r="AK27" i="17"/>
  <c r="Z27" i="17"/>
  <c r="AK28" i="17"/>
  <c r="AL28" i="17"/>
  <c r="Q28" i="17"/>
  <c r="Y12" i="17"/>
  <c r="Y15" i="17"/>
  <c r="Y14" i="17"/>
  <c r="Y13" i="17"/>
  <c r="Y17" i="17"/>
  <c r="Y20" i="17"/>
  <c r="Y18" i="17"/>
  <c r="Y21" i="17"/>
  <c r="Y28" i="17"/>
  <c r="Z28" i="17"/>
  <c r="H24" i="17"/>
  <c r="I24" i="17" s="1"/>
  <c r="H25" i="17"/>
  <c r="I25" i="17" s="1"/>
  <c r="Y25" i="17"/>
  <c r="Z25" i="17"/>
  <c r="F24" i="17"/>
  <c r="F25" i="17"/>
  <c r="Y24" i="17"/>
  <c r="Z24" i="17"/>
  <c r="EH15" i="15"/>
  <c r="EH20" i="15" s="1"/>
  <c r="ET13" i="15"/>
  <c r="ET18" i="15" s="1"/>
  <c r="B16" i="11"/>
  <c r="B17" i="11" s="1"/>
  <c r="B54" i="11"/>
  <c r="C54" i="11"/>
  <c r="C50" i="11"/>
  <c r="B51" i="11"/>
  <c r="K29" i="11"/>
  <c r="I32" i="11" s="1"/>
  <c r="I35" i="11" s="1"/>
  <c r="I38" i="11" s="1"/>
  <c r="I41" i="11" s="1"/>
  <c r="I44" i="11" s="1"/>
  <c r="K44" i="11" s="1"/>
  <c r="DJ19" i="15"/>
  <c r="DK14" i="15"/>
  <c r="DL14" i="15" s="1"/>
  <c r="DM14" i="15" s="1"/>
  <c r="C15" i="12"/>
  <c r="C54" i="12"/>
  <c r="B54" i="12"/>
  <c r="B56" i="12"/>
  <c r="B60" i="12" s="1"/>
  <c r="B55" i="12"/>
  <c r="AA83" i="17" l="1"/>
  <c r="N83" i="17" s="1"/>
  <c r="AA74" i="17"/>
  <c r="N74" i="17" s="1"/>
  <c r="AA69" i="17"/>
  <c r="N69" i="17" s="1"/>
  <c r="AA65" i="17"/>
  <c r="N65" i="17" s="1"/>
  <c r="AA63" i="17"/>
  <c r="N63" i="17" s="1"/>
  <c r="AI10" i="17"/>
  <c r="P10" i="17" s="1"/>
  <c r="S38" i="17"/>
  <c r="W38" i="17" s="1"/>
  <c r="M38" i="17" s="1"/>
  <c r="S58" i="17"/>
  <c r="W58" i="17" s="1"/>
  <c r="M58" i="17" s="1"/>
  <c r="S45" i="17"/>
  <c r="W45" i="17" s="1"/>
  <c r="M45" i="17" s="1"/>
  <c r="K45" i="17" s="1"/>
  <c r="L45" i="17" s="1"/>
  <c r="S86" i="17"/>
  <c r="S59" i="17"/>
  <c r="S79" i="17"/>
  <c r="S80" i="17"/>
  <c r="W80" i="17" s="1"/>
  <c r="M80" i="17" s="1"/>
  <c r="S48" i="17"/>
  <c r="W48" i="17" s="1"/>
  <c r="M48" i="17" s="1"/>
  <c r="S78" i="17"/>
  <c r="W78" i="17" s="1"/>
  <c r="M78" i="17" s="1"/>
  <c r="S13" i="17"/>
  <c r="S34" i="17"/>
  <c r="S44" i="17"/>
  <c r="S49" i="17"/>
  <c r="S28" i="17"/>
  <c r="S39" i="17"/>
  <c r="S73" i="17"/>
  <c r="W73" i="17" s="1"/>
  <c r="M73" i="17" s="1"/>
  <c r="S61" i="17"/>
  <c r="S63" i="17"/>
  <c r="W63" i="17" s="1"/>
  <c r="M63" i="17" s="1"/>
  <c r="K63" i="17" s="1"/>
  <c r="L63" i="17" s="1"/>
  <c r="S35" i="17"/>
  <c r="W35" i="17" s="1"/>
  <c r="M35" i="17" s="1"/>
  <c r="S41" i="17"/>
  <c r="S66" i="17"/>
  <c r="S60" i="17"/>
  <c r="W60" i="17" s="1"/>
  <c r="M60" i="17" s="1"/>
  <c r="S30" i="17"/>
  <c r="W30" i="17" s="1"/>
  <c r="M30" i="17" s="1"/>
  <c r="S20" i="17"/>
  <c r="W20" i="17" s="1"/>
  <c r="M20" i="17" s="1"/>
  <c r="S10" i="17"/>
  <c r="S40" i="17"/>
  <c r="W40" i="17" s="1"/>
  <c r="M40" i="17" s="1"/>
  <c r="S43" i="17"/>
  <c r="W43" i="17" s="1"/>
  <c r="M43" i="17" s="1"/>
  <c r="S9" i="17"/>
  <c r="W9" i="17" s="1"/>
  <c r="M9" i="17" s="1"/>
  <c r="S46" i="17"/>
  <c r="S84" i="17"/>
  <c r="S12" i="17"/>
  <c r="W12" i="17" s="1"/>
  <c r="M12" i="17" s="1"/>
  <c r="S33" i="17"/>
  <c r="W33" i="17" s="1"/>
  <c r="M33" i="17" s="1"/>
  <c r="S53" i="17"/>
  <c r="W53" i="17" s="1"/>
  <c r="M53" i="17" s="1"/>
  <c r="S70" i="17"/>
  <c r="W70" i="17" s="1"/>
  <c r="M70" i="17" s="1"/>
  <c r="K70" i="17" s="1"/>
  <c r="L70" i="17" s="1"/>
  <c r="S36" i="17"/>
  <c r="S64" i="17"/>
  <c r="S27" i="17"/>
  <c r="W27" i="17" s="1"/>
  <c r="M27" i="17" s="1"/>
  <c r="S18" i="17"/>
  <c r="S69" i="17"/>
  <c r="S68" i="17"/>
  <c r="W68" i="17" s="1"/>
  <c r="M68" i="17" s="1"/>
  <c r="S65" i="17"/>
  <c r="W65" i="17" s="1"/>
  <c r="M65" i="17" s="1"/>
  <c r="K65" i="17" s="1"/>
  <c r="L65" i="17" s="1"/>
  <c r="S17" i="17"/>
  <c r="W17" i="17" s="1"/>
  <c r="M17" i="17" s="1"/>
  <c r="S75" i="17"/>
  <c r="W75" i="17" s="1"/>
  <c r="M75" i="17" s="1"/>
  <c r="S83" i="17"/>
  <c r="W83" i="17" s="1"/>
  <c r="M83" i="17" s="1"/>
  <c r="S15" i="17"/>
  <c r="S50" i="17"/>
  <c r="W50" i="17" s="1"/>
  <c r="M50" i="17" s="1"/>
  <c r="S81" i="17"/>
  <c r="S14" i="17"/>
  <c r="W14" i="17" s="1"/>
  <c r="M14" i="17" s="1"/>
  <c r="S31" i="17"/>
  <c r="S74" i="17"/>
  <c r="S56" i="17"/>
  <c r="S21" i="17"/>
  <c r="S85" i="17"/>
  <c r="W85" i="17" s="1"/>
  <c r="M85" i="17" s="1"/>
  <c r="K85" i="17" s="1"/>
  <c r="L85" i="17" s="1"/>
  <c r="S55" i="17"/>
  <c r="W55" i="17" s="1"/>
  <c r="M55" i="17" s="1"/>
  <c r="S76" i="17"/>
  <c r="S51" i="17"/>
  <c r="S24" i="17"/>
  <c r="W24" i="17" s="1"/>
  <c r="M24" i="17" s="1"/>
  <c r="S71" i="17"/>
  <c r="S25" i="17"/>
  <c r="S54" i="17"/>
  <c r="V21" i="17"/>
  <c r="V69" i="17"/>
  <c r="V44" i="17"/>
  <c r="V34" i="17"/>
  <c r="V86" i="17"/>
  <c r="V39" i="17"/>
  <c r="V84" i="17"/>
  <c r="V61" i="17"/>
  <c r="V71" i="17"/>
  <c r="V28" i="17"/>
  <c r="V56" i="17"/>
  <c r="V18" i="17"/>
  <c r="V79" i="17"/>
  <c r="V66" i="17"/>
  <c r="V49" i="17"/>
  <c r="V64" i="17"/>
  <c r="V31" i="17"/>
  <c r="V10" i="17"/>
  <c r="V74" i="17"/>
  <c r="V59" i="17"/>
  <c r="V76" i="17"/>
  <c r="V54" i="17"/>
  <c r="V81" i="17"/>
  <c r="V13" i="17"/>
  <c r="V41" i="17"/>
  <c r="V25" i="17"/>
  <c r="V36" i="17"/>
  <c r="V46" i="17"/>
  <c r="V15" i="17"/>
  <c r="V51" i="17"/>
  <c r="AA41" i="17"/>
  <c r="N41" i="17" s="1"/>
  <c r="AM25" i="17"/>
  <c r="AM24" i="17"/>
  <c r="AK24" i="17" s="1"/>
  <c r="AA43" i="17"/>
  <c r="N43" i="17" s="1"/>
  <c r="AA86" i="17"/>
  <c r="N86" i="17" s="1"/>
  <c r="AA40" i="17"/>
  <c r="N40" i="17" s="1"/>
  <c r="AA78" i="17"/>
  <c r="N78" i="17" s="1"/>
  <c r="AA38" i="17"/>
  <c r="N38" i="17" s="1"/>
  <c r="K38" i="17" s="1"/>
  <c r="L38" i="17" s="1"/>
  <c r="AA81" i="17"/>
  <c r="N81" i="17" s="1"/>
  <c r="AA53" i="17"/>
  <c r="N53" i="17" s="1"/>
  <c r="AA68" i="17"/>
  <c r="N68" i="17" s="1"/>
  <c r="K68" i="17" s="1"/>
  <c r="L68" i="17" s="1"/>
  <c r="AA75" i="17"/>
  <c r="N75" i="17" s="1"/>
  <c r="AA27" i="17"/>
  <c r="N27" i="17" s="1"/>
  <c r="AA59" i="17"/>
  <c r="N59" i="17" s="1"/>
  <c r="AA76" i="17"/>
  <c r="N76" i="17" s="1"/>
  <c r="Q83" i="17"/>
  <c r="AK83" i="17"/>
  <c r="AL83" i="17"/>
  <c r="Q54" i="17"/>
  <c r="AL54" i="17"/>
  <c r="AK54" i="17"/>
  <c r="AK79" i="17"/>
  <c r="AL79" i="17"/>
  <c r="Q79" i="17"/>
  <c r="Q84" i="17"/>
  <c r="AK84" i="17"/>
  <c r="AL84" i="17"/>
  <c r="AA71" i="17"/>
  <c r="N71" i="17" s="1"/>
  <c r="AK73" i="17"/>
  <c r="AL73" i="17"/>
  <c r="Q73" i="17"/>
  <c r="Q78" i="17"/>
  <c r="AL78" i="17"/>
  <c r="AK78" i="17"/>
  <c r="AA54" i="17"/>
  <c r="N54" i="17" s="1"/>
  <c r="Q74" i="17"/>
  <c r="AL74" i="17"/>
  <c r="AK74" i="17"/>
  <c r="G83" i="17"/>
  <c r="AA48" i="17"/>
  <c r="N48" i="17" s="1"/>
  <c r="AA44" i="17"/>
  <c r="N44" i="17" s="1"/>
  <c r="AK53" i="17"/>
  <c r="AL53" i="17"/>
  <c r="Q53" i="17"/>
  <c r="G79" i="17"/>
  <c r="G84" i="17"/>
  <c r="AA39" i="17"/>
  <c r="N39" i="17" s="1"/>
  <c r="AA61" i="17"/>
  <c r="N61" i="17" s="1"/>
  <c r="AA60" i="17"/>
  <c r="N60" i="17" s="1"/>
  <c r="AA64" i="17"/>
  <c r="N64" i="17" s="1"/>
  <c r="AA55" i="17"/>
  <c r="N55" i="17" s="1"/>
  <c r="AA58" i="17"/>
  <c r="N58" i="17" s="1"/>
  <c r="AA51" i="17"/>
  <c r="N51" i="17" s="1"/>
  <c r="AA56" i="17"/>
  <c r="N56" i="17" s="1"/>
  <c r="AA80" i="17"/>
  <c r="N80" i="17" s="1"/>
  <c r="K80" i="17" s="1"/>
  <c r="L80" i="17" s="1"/>
  <c r="AA50" i="17"/>
  <c r="N50" i="17" s="1"/>
  <c r="AA66" i="17"/>
  <c r="N66" i="17" s="1"/>
  <c r="AA79" i="17"/>
  <c r="N79" i="17" s="1"/>
  <c r="AA14" i="17"/>
  <c r="N14" i="17" s="1"/>
  <c r="K14" i="17" s="1"/>
  <c r="L14" i="17" s="1"/>
  <c r="AA13" i="17"/>
  <c r="N13" i="17" s="1"/>
  <c r="K27" i="17"/>
  <c r="L27" i="17" s="1"/>
  <c r="G25" i="17"/>
  <c r="AA17" i="17"/>
  <c r="N17" i="17" s="1"/>
  <c r="AA28" i="17"/>
  <c r="N28" i="17" s="1"/>
  <c r="AM18" i="17"/>
  <c r="AM17" i="17"/>
  <c r="AA15" i="17"/>
  <c r="N15" i="17" s="1"/>
  <c r="AM10" i="17"/>
  <c r="AM9" i="17"/>
  <c r="AA21" i="17"/>
  <c r="N21" i="17" s="1"/>
  <c r="AA18" i="17"/>
  <c r="N18" i="17" s="1"/>
  <c r="AA12" i="17"/>
  <c r="N12" i="17" s="1"/>
  <c r="G24" i="17"/>
  <c r="AA20" i="17"/>
  <c r="N20" i="17" s="1"/>
  <c r="K20" i="17" s="1"/>
  <c r="L20" i="17" s="1"/>
  <c r="AA25" i="17"/>
  <c r="N25" i="17" s="1"/>
  <c r="AA24" i="17"/>
  <c r="N24" i="17" s="1"/>
  <c r="AD25" i="17"/>
  <c r="Q24" i="17"/>
  <c r="AL25" i="17"/>
  <c r="Q25" i="17"/>
  <c r="AK25" i="17"/>
  <c r="AD24" i="17"/>
  <c r="DZ21" i="15"/>
  <c r="B56" i="11"/>
  <c r="B55" i="11"/>
  <c r="C51" i="11"/>
  <c r="C56" i="11" s="1"/>
  <c r="C55" i="11"/>
  <c r="C59" i="11"/>
  <c r="B59" i="11"/>
  <c r="DK19" i="15"/>
  <c r="C16" i="12"/>
  <c r="AC25" i="17" s="1"/>
  <c r="C55" i="12"/>
  <c r="K55" i="17" l="1"/>
  <c r="L55" i="17" s="1"/>
  <c r="W51" i="17"/>
  <c r="M51" i="17" s="1"/>
  <c r="W18" i="17"/>
  <c r="M18" i="17" s="1"/>
  <c r="W56" i="17"/>
  <c r="M56" i="17" s="1"/>
  <c r="K50" i="17"/>
  <c r="L50" i="17" s="1"/>
  <c r="W15" i="17"/>
  <c r="M15" i="17" s="1"/>
  <c r="K15" i="17" s="1"/>
  <c r="L15" i="17" s="1"/>
  <c r="W28" i="17"/>
  <c r="M28" i="17" s="1"/>
  <c r="K28" i="17" s="1"/>
  <c r="L28" i="17" s="1"/>
  <c r="K60" i="17"/>
  <c r="L60" i="17" s="1"/>
  <c r="K73" i="17"/>
  <c r="L73" i="17" s="1"/>
  <c r="K12" i="17"/>
  <c r="L12" i="17" s="1"/>
  <c r="K75" i="17"/>
  <c r="L75" i="17" s="1"/>
  <c r="W76" i="17"/>
  <c r="M76" i="17" s="1"/>
  <c r="K76" i="17" s="1"/>
  <c r="L76" i="17" s="1"/>
  <c r="W31" i="17"/>
  <c r="M31" i="17" s="1"/>
  <c r="W49" i="17"/>
  <c r="M49" i="17" s="1"/>
  <c r="K49" i="17" s="1"/>
  <c r="L49" i="17" s="1"/>
  <c r="W54" i="17"/>
  <c r="M54" i="17" s="1"/>
  <c r="K54" i="17" s="1"/>
  <c r="L54" i="17" s="1"/>
  <c r="W25" i="17"/>
  <c r="M25" i="17" s="1"/>
  <c r="W66" i="17"/>
  <c r="M66" i="17" s="1"/>
  <c r="K66" i="17" s="1"/>
  <c r="L66" i="17" s="1"/>
  <c r="W74" i="17"/>
  <c r="M74" i="17" s="1"/>
  <c r="K74" i="17" s="1"/>
  <c r="L74" i="17" s="1"/>
  <c r="W10" i="17"/>
  <c r="M10" i="17" s="1"/>
  <c r="K51" i="17"/>
  <c r="L51" i="17" s="1"/>
  <c r="W64" i="17"/>
  <c r="M64" i="17" s="1"/>
  <c r="K64" i="17" s="1"/>
  <c r="L64" i="17" s="1"/>
  <c r="W84" i="17"/>
  <c r="M84" i="17" s="1"/>
  <c r="W44" i="17"/>
  <c r="M44" i="17" s="1"/>
  <c r="K44" i="17" s="1"/>
  <c r="L44" i="17" s="1"/>
  <c r="W79" i="17"/>
  <c r="M79" i="17" s="1"/>
  <c r="K79" i="17" s="1"/>
  <c r="L79" i="17" s="1"/>
  <c r="W69" i="17"/>
  <c r="M69" i="17" s="1"/>
  <c r="K69" i="17" s="1"/>
  <c r="L69" i="17" s="1"/>
  <c r="K40" i="17"/>
  <c r="L40" i="17" s="1"/>
  <c r="W39" i="17"/>
  <c r="M39" i="17" s="1"/>
  <c r="K39" i="17" s="1"/>
  <c r="L39" i="17" s="1"/>
  <c r="B60" i="11"/>
  <c r="K58" i="17"/>
  <c r="L58" i="17" s="1"/>
  <c r="K48" i="17"/>
  <c r="L48" i="17" s="1"/>
  <c r="K83" i="17"/>
  <c r="L83" i="17" s="1"/>
  <c r="K43" i="17"/>
  <c r="L43" i="17" s="1"/>
  <c r="W81" i="17"/>
  <c r="M81" i="17" s="1"/>
  <c r="K81" i="17" s="1"/>
  <c r="L81" i="17" s="1"/>
  <c r="W36" i="17"/>
  <c r="M36" i="17" s="1"/>
  <c r="W46" i="17"/>
  <c r="M46" i="17" s="1"/>
  <c r="K46" i="17" s="1"/>
  <c r="L46" i="17" s="1"/>
  <c r="W61" i="17"/>
  <c r="M61" i="17" s="1"/>
  <c r="K61" i="17" s="1"/>
  <c r="L61" i="17" s="1"/>
  <c r="W34" i="17"/>
  <c r="M34" i="17" s="1"/>
  <c r="W59" i="17"/>
  <c r="M59" i="17" s="1"/>
  <c r="K59" i="17" s="1"/>
  <c r="L59" i="17" s="1"/>
  <c r="K84" i="17"/>
  <c r="L84" i="17" s="1"/>
  <c r="W41" i="17"/>
  <c r="M41" i="17" s="1"/>
  <c r="K41" i="17" s="1"/>
  <c r="L41" i="17" s="1"/>
  <c r="K56" i="17"/>
  <c r="L56" i="17" s="1"/>
  <c r="W71" i="17"/>
  <c r="M71" i="17" s="1"/>
  <c r="K71" i="17" s="1"/>
  <c r="L71" i="17" s="1"/>
  <c r="W21" i="17"/>
  <c r="M21" i="17" s="1"/>
  <c r="K21" i="17" s="1"/>
  <c r="L21" i="17" s="1"/>
  <c r="W13" i="17"/>
  <c r="M13" i="17" s="1"/>
  <c r="K13" i="17" s="1"/>
  <c r="L13" i="17" s="1"/>
  <c r="W86" i="17"/>
  <c r="M86" i="17" s="1"/>
  <c r="K86" i="17" s="1"/>
  <c r="L86" i="17" s="1"/>
  <c r="AL24" i="17"/>
  <c r="K53" i="17"/>
  <c r="L53" i="17" s="1"/>
  <c r="K78" i="17"/>
  <c r="L78" i="17" s="1"/>
  <c r="Q17" i="17"/>
  <c r="AK17" i="17"/>
  <c r="AL17" i="17"/>
  <c r="Q9" i="17"/>
  <c r="AL9" i="17"/>
  <c r="C56" i="12"/>
  <c r="C60" i="12" s="1"/>
  <c r="AC18" i="17"/>
  <c r="AE18" i="17" s="1"/>
  <c r="O18" i="17" s="1"/>
  <c r="AC10" i="17"/>
  <c r="AE10" i="17" s="1"/>
  <c r="O10" i="17" s="1"/>
  <c r="AC17" i="17"/>
  <c r="AE17" i="17" s="1"/>
  <c r="O17" i="17" s="1"/>
  <c r="AC9" i="17"/>
  <c r="AE9" i="17" s="1"/>
  <c r="O9" i="17" s="1"/>
  <c r="Q18" i="17"/>
  <c r="AK18" i="17"/>
  <c r="AL18" i="17"/>
  <c r="AC24" i="17"/>
  <c r="AE24" i="17" s="1"/>
  <c r="O24" i="17" s="1"/>
  <c r="K24" i="17" s="1"/>
  <c r="L24" i="17" s="1"/>
  <c r="Q10" i="17"/>
  <c r="AL10" i="17"/>
  <c r="AE25" i="17"/>
  <c r="O25" i="17" s="1"/>
  <c r="K25" i="17" s="1"/>
  <c r="L25" i="17" s="1"/>
  <c r="DZ19" i="15"/>
  <c r="EA19" i="15" s="1"/>
  <c r="DZ20" i="15"/>
  <c r="C60" i="11"/>
  <c r="DN14" i="15"/>
  <c r="DN19" i="15"/>
  <c r="DN11" i="15"/>
  <c r="DN4" i="15"/>
  <c r="DN5" i="15"/>
  <c r="DN10" i="15"/>
  <c r="DN3" i="15"/>
  <c r="DN15" i="15"/>
  <c r="DN18" i="15"/>
  <c r="DN9" i="15"/>
  <c r="DN7" i="15"/>
  <c r="DN12" i="15"/>
  <c r="DN6" i="15"/>
  <c r="DN13" i="15"/>
  <c r="DN8" i="15"/>
  <c r="DN17" i="15"/>
  <c r="DN16" i="15"/>
  <c r="K17" i="17" l="1"/>
  <c r="L17" i="17" s="1"/>
  <c r="K18" i="17"/>
  <c r="L18" i="17" s="1"/>
  <c r="ED20" i="15"/>
  <c r="D10" i="17" l="1"/>
  <c r="D9" i="17"/>
  <c r="EF20" i="15"/>
  <c r="EE20" i="15"/>
  <c r="EW6" i="15"/>
  <c r="EV6" i="15" s="1"/>
  <c r="EW10" i="15"/>
  <c r="EV10" i="15" s="1"/>
  <c r="EW5" i="15"/>
  <c r="EV5" i="15" s="1"/>
  <c r="EW11" i="15"/>
  <c r="EV11" i="15" s="1"/>
  <c r="EW9" i="15"/>
  <c r="EV9" i="15" s="1"/>
  <c r="EW13" i="15"/>
  <c r="EV13" i="15" s="1"/>
  <c r="EW7" i="15"/>
  <c r="EV7" i="15" s="1"/>
  <c r="EW15" i="15"/>
  <c r="EV15" i="15" s="1"/>
  <c r="EW14" i="15"/>
  <c r="EV14" i="15" s="1"/>
  <c r="EW12" i="15"/>
  <c r="EV12" i="15" s="1"/>
  <c r="EW8" i="15"/>
  <c r="EV8" i="15" s="1"/>
  <c r="EW4" i="15"/>
  <c r="EV4" i="15" s="1"/>
  <c r="E10" i="17" l="1"/>
  <c r="E9" i="17"/>
  <c r="Z9" i="17"/>
  <c r="Y9" i="17"/>
  <c r="F10" i="17"/>
  <c r="F9" i="17"/>
  <c r="Y10" i="17"/>
  <c r="Z10" i="17"/>
  <c r="EY11" i="15"/>
  <c r="EZ11" i="15" s="1"/>
  <c r="EY15" i="15"/>
  <c r="EZ15" i="15" s="1"/>
  <c r="EV16" i="15"/>
  <c r="EV2" i="15" s="1"/>
  <c r="EY4" i="15"/>
  <c r="EY12" i="15"/>
  <c r="EZ12" i="15" s="1"/>
  <c r="EY14" i="15"/>
  <c r="EZ14" i="15" s="1"/>
  <c r="EY5" i="15"/>
  <c r="EZ5" i="15" s="1"/>
  <c r="EY10" i="15"/>
  <c r="EZ10" i="15" s="1"/>
  <c r="EY7" i="15"/>
  <c r="EZ7" i="15" s="1"/>
  <c r="EY6" i="15"/>
  <c r="EZ6" i="15" s="1"/>
  <c r="EY13" i="15"/>
  <c r="EZ13" i="15" s="1"/>
  <c r="EY8" i="15"/>
  <c r="EZ8" i="15" s="1"/>
  <c r="EY9" i="15"/>
  <c r="EZ9" i="15" s="1"/>
  <c r="EX4" i="15" l="1"/>
  <c r="EZ4" i="15"/>
  <c r="EX6" i="15"/>
  <c r="EX7" i="15"/>
  <c r="EX10" i="15"/>
  <c r="EX5" i="15"/>
  <c r="EX8" i="15"/>
  <c r="EX14" i="15"/>
  <c r="EX15" i="15"/>
  <c r="EX9" i="15"/>
  <c r="EX11" i="15"/>
  <c r="EX13" i="15"/>
  <c r="EX12" i="15"/>
  <c r="G10" i="17"/>
  <c r="AK10" i="17"/>
  <c r="D31" i="17"/>
  <c r="D30" i="17"/>
  <c r="G9" i="17"/>
  <c r="AK9" i="17"/>
  <c r="AA9" i="17"/>
  <c r="N9" i="17" s="1"/>
  <c r="K9" i="17" s="1"/>
  <c r="L9" i="17" s="1"/>
  <c r="AA10" i="17"/>
  <c r="N10" i="17" s="1"/>
  <c r="K10" i="17" s="1"/>
  <c r="L10" i="17" s="1"/>
  <c r="EY16" i="15"/>
  <c r="EX16" i="15" l="1"/>
  <c r="F30" i="17" s="1"/>
  <c r="EZ16" i="15"/>
  <c r="AM31" i="17" s="1"/>
  <c r="Z30" i="17"/>
  <c r="Y30" i="17"/>
  <c r="H31" i="17"/>
  <c r="H30" i="17"/>
  <c r="Z31" i="17"/>
  <c r="Y31" i="17"/>
  <c r="F31" i="17" l="1"/>
  <c r="AM30" i="17"/>
  <c r="AK30" i="17" s="1"/>
  <c r="AA31" i="17"/>
  <c r="N31" i="17" s="1"/>
  <c r="G31" i="17"/>
  <c r="G30" i="17"/>
  <c r="AA30" i="17"/>
  <c r="N30" i="17" s="1"/>
  <c r="Q31" i="17"/>
  <c r="AK31" i="17"/>
  <c r="AL31" i="17"/>
  <c r="AL30" i="17" l="1"/>
  <c r="Q30" i="17"/>
  <c r="K31" i="17"/>
  <c r="L31" i="17" s="1"/>
  <c r="K30" i="17"/>
  <c r="L30" i="17" s="1"/>
  <c r="FB26" i="15"/>
  <c r="FB28" i="15" s="1"/>
  <c r="FD28" i="15" s="1"/>
  <c r="FF28" i="15" l="1"/>
  <c r="FE28" i="15"/>
  <c r="FC28" i="15"/>
  <c r="FB29" i="15"/>
  <c r="FD29" i="15" s="1"/>
  <c r="FB30" i="15"/>
  <c r="FD30" i="15" s="1"/>
  <c r="FC29" i="15" l="1"/>
  <c r="FE29" i="15"/>
  <c r="FC30" i="15"/>
  <c r="FE30" i="15"/>
  <c r="FF30" i="15"/>
  <c r="FB31" i="15"/>
  <c r="FE31" i="15" l="1"/>
  <c r="H34" i="17" s="1"/>
  <c r="FF29" i="15"/>
  <c r="FD31" i="15"/>
  <c r="D34" i="17"/>
  <c r="D33" i="17"/>
  <c r="D36" i="17"/>
  <c r="D35" i="17"/>
  <c r="H33" i="17" l="1"/>
  <c r="Z35" i="17"/>
  <c r="Y35" i="17"/>
  <c r="Y33" i="17"/>
  <c r="Z33" i="17"/>
  <c r="Y34" i="17"/>
  <c r="Z34" i="17"/>
  <c r="FF31" i="15"/>
  <c r="F34" i="17"/>
  <c r="G34" i="17" s="1"/>
  <c r="F33" i="17"/>
  <c r="G33" i="17" s="1"/>
  <c r="Z36" i="17"/>
  <c r="Y36" i="17"/>
  <c r="AA35" i="17" l="1"/>
  <c r="N35" i="17" s="1"/>
  <c r="K35" i="17" s="1"/>
  <c r="L35" i="17" s="1"/>
  <c r="AA36" i="17"/>
  <c r="N36" i="17" s="1"/>
  <c r="K36" i="17" s="1"/>
  <c r="L36" i="17" s="1"/>
  <c r="AA34" i="17"/>
  <c r="N34" i="17" s="1"/>
  <c r="AA33" i="17"/>
  <c r="N33" i="17" s="1"/>
  <c r="AM34" i="17"/>
  <c r="AM33" i="17"/>
  <c r="Q34" i="17" l="1"/>
  <c r="AK34" i="17"/>
  <c r="AL34" i="17"/>
  <c r="Q33" i="17"/>
  <c r="K33" i="17" s="1"/>
  <c r="L33" i="17" s="1"/>
  <c r="AK33" i="17"/>
  <c r="AL33" i="17"/>
  <c r="K34" i="17"/>
  <c r="L34" i="17" s="1"/>
</calcChain>
</file>

<file path=xl/sharedStrings.xml><?xml version="1.0" encoding="utf-8"?>
<sst xmlns="http://schemas.openxmlformats.org/spreadsheetml/2006/main" count="17301" uniqueCount="1864">
  <si>
    <t>Total Cost</t>
  </si>
  <si>
    <t>Average</t>
  </si>
  <si>
    <t>Year</t>
  </si>
  <si>
    <t>Annual Capital Cost</t>
  </si>
  <si>
    <t>Daily Capital Cost</t>
  </si>
  <si>
    <t>Hourly Capital Cost</t>
  </si>
  <si>
    <t>Installed</t>
  </si>
  <si>
    <t>Type</t>
  </si>
  <si>
    <t>Amount</t>
  </si>
  <si>
    <t>Sched 410, L 222, Col f</t>
  </si>
  <si>
    <t>Sched 410, L 221,Col f</t>
  </si>
  <si>
    <t>Sched 410,L 220,Col f</t>
  </si>
  <si>
    <t>Sched 410, L 29, Col f</t>
  </si>
  <si>
    <t>Sched 410,L 223, Col f</t>
  </si>
  <si>
    <t>Sched 410, L 235, Col f</t>
  </si>
  <si>
    <t>Number</t>
  </si>
  <si>
    <t>Freight Cars*</t>
  </si>
  <si>
    <t>ESTIMATE OF DIRECT DELAY COST PER FREIGHT TRAIN HOUR</t>
  </si>
  <si>
    <t>Eq Loco Admin</t>
  </si>
  <si>
    <t>Eq Loco Repair</t>
  </si>
  <si>
    <t>Eq Loco Machin</t>
  </si>
  <si>
    <t>Eq Loco Eq Damage</t>
  </si>
  <si>
    <t>Eq Loco Fringe Bene</t>
  </si>
  <si>
    <t>Eq Loco Casualty Ins.</t>
  </si>
  <si>
    <t>Eq Loco Reimbursables</t>
  </si>
  <si>
    <t>Idle Fuel</t>
  </si>
  <si>
    <t>Locomotive</t>
  </si>
  <si>
    <t>Idle Fuel Cost/Hour/Locomotive</t>
  </si>
  <si>
    <t>Group</t>
  </si>
  <si>
    <t>Conspt Rate</t>
  </si>
  <si>
    <t>(gal/hr)</t>
  </si>
  <si>
    <t>Switch</t>
  </si>
  <si>
    <t>Local</t>
  </si>
  <si>
    <t>Road</t>
  </si>
  <si>
    <t>Sched 410, L 225, Col f</t>
  </si>
  <si>
    <t>Crew</t>
  </si>
  <si>
    <t>Freight Cars</t>
  </si>
  <si>
    <t>Locomotives</t>
  </si>
  <si>
    <t>Cost of Capital Rate</t>
  </si>
  <si>
    <t>From STB decision</t>
  </si>
  <si>
    <t>Economic Serice Life (yrs)</t>
  </si>
  <si>
    <t>Net Scrap or Salvage Value</t>
  </si>
  <si>
    <t>5-Yr Avg Cost Per Car</t>
  </si>
  <si>
    <t>Freight Car Operating Expenses from R-1</t>
  </si>
  <si>
    <t>Annual Operating Cost</t>
  </si>
  <si>
    <t>Daily Operating Cost</t>
  </si>
  <si>
    <t>Hourly Operating Cost</t>
  </si>
  <si>
    <t xml:space="preserve">Based on average cost per car installed during last five years </t>
  </si>
  <si>
    <t xml:space="preserve">  (estimate of fleet replacement cost), at regulatory cost of capital</t>
  </si>
  <si>
    <t>Annual Cost</t>
  </si>
  <si>
    <t>Daily Cost</t>
  </si>
  <si>
    <t>Hourly Cost</t>
  </si>
  <si>
    <t>5 yrs of installs &amp; avg. cost/car</t>
  </si>
  <si>
    <t>No. Cars Per Train</t>
  </si>
  <si>
    <t>5-Yr Avg Cost Per Locomotive</t>
  </si>
  <si>
    <t xml:space="preserve"> L 28, Col f</t>
  </si>
  <si>
    <t xml:space="preserve"> L 202,Col f</t>
  </si>
  <si>
    <t xml:space="preserve"> L 203, Col f</t>
  </si>
  <si>
    <t xml:space="preserve"> L 205, Col f</t>
  </si>
  <si>
    <t xml:space="preserve"> L 206, Col f</t>
  </si>
  <si>
    <t xml:space="preserve"> L 216, Col f</t>
  </si>
  <si>
    <t xml:space="preserve"> L 204, Col f</t>
  </si>
  <si>
    <t xml:space="preserve"> L 201,Col f</t>
  </si>
  <si>
    <t>Reference (R-1 Sch 410)</t>
  </si>
  <si>
    <t>No. Locomotives</t>
  </si>
  <si>
    <t>Fuel Cost Per Gal.</t>
  </si>
  <si>
    <t>Avg. Locos Per Train</t>
  </si>
  <si>
    <t>Idle Fuel Consumption in</t>
  </si>
  <si>
    <t xml:space="preserve">     gallons per hour</t>
  </si>
  <si>
    <t xml:space="preserve">  Total</t>
  </si>
  <si>
    <t>4 - AAR est see Avg Fuel Cons. Tab</t>
  </si>
  <si>
    <t>Operating Expense Per Locomotive</t>
  </si>
  <si>
    <t xml:space="preserve">  Op Exp / No. Locos</t>
  </si>
  <si>
    <t xml:space="preserve">  Annual / 365</t>
  </si>
  <si>
    <t xml:space="preserve">  (Daily/24)+Idle Cost Per hr</t>
  </si>
  <si>
    <t>Locomotive Cost Per Train Hour</t>
  </si>
  <si>
    <t>No. T&amp;E Employees</t>
  </si>
  <si>
    <t>Total Compensation ($mil)</t>
  </si>
  <si>
    <t>Total Wages ($mil)</t>
  </si>
  <si>
    <t>Ratio (rounded)</t>
  </si>
  <si>
    <t>No. of Workers in Crew</t>
  </si>
  <si>
    <t>Total Compensation for Crew</t>
  </si>
  <si>
    <t>hourly wages plus fringes for T&amp;E crew</t>
  </si>
  <si>
    <t xml:space="preserve">Hours Worked </t>
  </si>
  <si>
    <t>Wages per Hour Worked</t>
  </si>
  <si>
    <t>Straight-time hours + OT Hours</t>
  </si>
  <si>
    <t>* -  The ICC, and now STB, calls wages "compensation" in Wage Form B</t>
  </si>
  <si>
    <t>from work paper below</t>
  </si>
  <si>
    <t>Work Paper for Ratio of Fringes &amp; Wages to Wages (all types of employees)</t>
  </si>
  <si>
    <t>All Wages divided by hours worked</t>
  </si>
  <si>
    <t>Hourly Wages x crew size</t>
  </si>
  <si>
    <t>Adjustment Ratio for Fringes</t>
  </si>
  <si>
    <t>Wages Cost per Hour for Crew</t>
  </si>
  <si>
    <t>From Railroad Ten-Year Trends, Employees and Compensation page 92 (an alternative to RCAF tab herein)</t>
  </si>
  <si>
    <t>RR Facts p.9</t>
  </si>
  <si>
    <t>Freight Car Capital Cost 2016</t>
  </si>
  <si>
    <t>Locomotives Page</t>
  </si>
  <si>
    <t xml:space="preserve">    Net Freight Car Op Exp</t>
  </si>
  <si>
    <t>Sched</t>
  </si>
  <si>
    <t>Line</t>
  </si>
  <si>
    <t>410Label</t>
  </si>
  <si>
    <t>Sum Of ColF</t>
  </si>
  <si>
    <t>EQ Loc Admin</t>
  </si>
  <si>
    <t>EQ Loc Repair n Maint</t>
  </si>
  <si>
    <t>EQ Loc Machinery Rep</t>
  </si>
  <si>
    <t>EQ Loc Eq Damaged</t>
  </si>
  <si>
    <t>EQ Loc Fringe Benefits</t>
  </si>
  <si>
    <t>EQ Loc Otr Cas Ins</t>
  </si>
  <si>
    <t>EQ Loc Rep Bill to Otr cr</t>
  </si>
  <si>
    <t>WS Shop Buildings - Locos</t>
  </si>
  <si>
    <t>Note</t>
  </si>
  <si>
    <t>Amt.</t>
  </si>
  <si>
    <t>Crew Page and Summary</t>
  </si>
  <si>
    <t>Economic Service Life to Rebuild (yrs)</t>
  </si>
  <si>
    <t>Locomotive Capital Cost 2019</t>
  </si>
  <si>
    <t>Initial</t>
  </si>
  <si>
    <t>R-1, Schd. 710-S</t>
  </si>
  <si>
    <t>Rebuilt</t>
  </si>
  <si>
    <t>Cost</t>
  </si>
  <si>
    <t>Cost/Loco</t>
  </si>
  <si>
    <t>5 yrs of installs &amp; avg. cost/locomotive</t>
  </si>
  <si>
    <t>Locomotive Operating Cost 2019</t>
  </si>
  <si>
    <t>Train-Miles</t>
  </si>
  <si>
    <t>Train-Hours</t>
  </si>
  <si>
    <t>Average Train Speed</t>
  </si>
  <si>
    <t>Rebuild Cost-5 Yr Avg Per Locomotive</t>
  </si>
  <si>
    <t>Capital Rebuild</t>
  </si>
  <si>
    <t>Avg Capital</t>
  </si>
  <si>
    <t>Fuel Cost</t>
  </si>
  <si>
    <t>Gallons Used</t>
  </si>
  <si>
    <t>Fuel Cost Per Gallon</t>
  </si>
  <si>
    <t>Net locomotive Op Exp</t>
  </si>
  <si>
    <t>2 - R-1, Schd. 750, (L.5)/(L.4 + L.6)</t>
  </si>
  <si>
    <t>1 - R-1,Schd. 710A, (L.8--L.2)</t>
  </si>
  <si>
    <t>3 - LUM/Train-Mi - Sch 755 L.11, L.5</t>
  </si>
  <si>
    <t>Locomotive Sevicing Facilities-Maintenance</t>
  </si>
  <si>
    <t>Locomotive Shop-Maintenance</t>
  </si>
  <si>
    <t>Lease Rentals-Debit</t>
  </si>
  <si>
    <t>Lease Rentals-Credit</t>
  </si>
  <si>
    <t>Joint Facility Rent-Debit</t>
  </si>
  <si>
    <t>Joint Facility Rent-Credit</t>
  </si>
  <si>
    <t>Other Rents-Debit</t>
  </si>
  <si>
    <t>Other Rents-Credit</t>
  </si>
  <si>
    <t>L.208, Col f</t>
  </si>
  <si>
    <t>L.207, Col f</t>
  </si>
  <si>
    <t>Depreciation</t>
  </si>
  <si>
    <t>L. 213, Col f</t>
  </si>
  <si>
    <t>L. 212., Col f</t>
  </si>
  <si>
    <t>L.211, Col f</t>
  </si>
  <si>
    <t>L. 101,Col f</t>
  </si>
  <si>
    <t>L. 209, Col f</t>
  </si>
  <si>
    <t>L. 210, Col f</t>
  </si>
  <si>
    <t>Joint Facility-Debit</t>
  </si>
  <si>
    <t>Joint Facility-Credit</t>
  </si>
  <si>
    <t>L.214, Col f</t>
  </si>
  <si>
    <t>L. 215, Col f</t>
  </si>
  <si>
    <t>Dismantling Retired Property</t>
  </si>
  <si>
    <t>L. 217, Col f</t>
  </si>
  <si>
    <t>Other</t>
  </si>
  <si>
    <t>L.218, Col f</t>
  </si>
  <si>
    <t>Annual Locomotive Hours</t>
  </si>
  <si>
    <t>Potential Idle Hours</t>
  </si>
  <si>
    <t>Gallons</t>
  </si>
  <si>
    <t>Locomotive Unit Miles</t>
  </si>
  <si>
    <t>Average Locomotives per Train</t>
  </si>
  <si>
    <t>Annual Locomotive Cost Per Locomotive</t>
  </si>
  <si>
    <t>Idle</t>
  </si>
  <si>
    <t>Active Train Service</t>
  </si>
  <si>
    <t>Annual (fuel cost not incl.)</t>
  </si>
  <si>
    <t>Daily  (fuel cost not included)</t>
  </si>
  <si>
    <t>Hourly  (including fuel cost)</t>
  </si>
  <si>
    <t>Idle Time</t>
  </si>
  <si>
    <t>One Hour of Train Delay</t>
  </si>
  <si>
    <t>Locomotive Component Cost of:</t>
  </si>
  <si>
    <t>One Hour of Active Train Service</t>
  </si>
  <si>
    <t>Number of Locomotives Per Train</t>
  </si>
  <si>
    <t>Annual Locomotive Hours in Active Train Service</t>
  </si>
  <si>
    <t>Minimum Fuel Cost per Hour of Train Service</t>
  </si>
  <si>
    <t>Minimum Fuel Cost per Locomotive Hour in Active Train Service (non-idle)</t>
  </si>
  <si>
    <t>ESTIMATE OF DIRECT COST PER FREIGHT TRAIN HOUR</t>
  </si>
  <si>
    <t>Minimum Fuel Used For Active Train Service</t>
  </si>
  <si>
    <t>Minimum Fuel Used per/Hour of Active Train Service</t>
  </si>
  <si>
    <t>** R-1, Schd. 710-S</t>
  </si>
  <si>
    <t>Cars in Service Jan 1 2019</t>
  </si>
  <si>
    <t>Freight Car Operating Cost 2019</t>
  </si>
  <si>
    <t>Sched 410, L 226, Col f</t>
  </si>
  <si>
    <t>Sched 410, L 227, Col f</t>
  </si>
  <si>
    <t>Sched 410, L 228, Col f</t>
  </si>
  <si>
    <t>Sched 410, L 229, Col f</t>
  </si>
  <si>
    <t>Sched 410, L 230, Col f</t>
  </si>
  <si>
    <t>Sched 410, L 231, Col f</t>
  </si>
  <si>
    <t>Sched 410, L 232, Col f</t>
  </si>
  <si>
    <t>Sched 410, L 233, Col f</t>
  </si>
  <si>
    <t>Sched 410, L 234, Col f</t>
  </si>
  <si>
    <t>Sched 410, L 236, Col f</t>
  </si>
  <si>
    <t>Sched 410, L 237, Col f</t>
  </si>
  <si>
    <t>Rep-Maint Freight Car Shops</t>
  </si>
  <si>
    <t>Repair and Maintenance (R&amp;M)</t>
  </si>
  <si>
    <t>Machinery Repair</t>
  </si>
  <si>
    <t>Equipment Damaged</t>
  </si>
  <si>
    <t>Fringe Benefits</t>
  </si>
  <si>
    <t>Other Casualties and Insurance</t>
  </si>
  <si>
    <t>Repairs Billed to Others-Credit</t>
  </si>
  <si>
    <t>Administration</t>
  </si>
  <si>
    <t>Reference;2019, R-1</t>
  </si>
  <si>
    <t>Freight Car Miles</t>
  </si>
  <si>
    <t>Train Miles</t>
  </si>
  <si>
    <t>Cars per Train</t>
  </si>
  <si>
    <t>Freight Car Component Cost of One Hour of Train Delay (Active or Idle)</t>
  </si>
  <si>
    <t>Total Compensation (Wages)</t>
  </si>
  <si>
    <t>Total FringeBenefits</t>
  </si>
  <si>
    <t>Crew Cost 2019</t>
  </si>
  <si>
    <t>From Wage Form B</t>
  </si>
  <si>
    <t>R-1, Sched. 410, (L.414,Col.H+L.430, Col.H)</t>
  </si>
  <si>
    <t xml:space="preserve">Total Compensation Including Fringe Benefits </t>
  </si>
  <si>
    <t>STB 2019 Cost of Capital decision</t>
  </si>
  <si>
    <t>Estimate from JTG before capital rebuild cost</t>
  </si>
  <si>
    <t>Est: $150/ton scrap val. &amp; 210 tons/locomotive</t>
  </si>
  <si>
    <t>Estimate of Fuel Utilization While Train is Moving through Terminal</t>
  </si>
  <si>
    <t>Total Wages</t>
  </si>
  <si>
    <t>Work Paper For Crew Size Estimate</t>
  </si>
  <si>
    <t>Local Train-Miles</t>
  </si>
  <si>
    <t>Unit Train-Miles</t>
  </si>
  <si>
    <t>Through Train-Miles</t>
  </si>
  <si>
    <t>Total Train-Miles</t>
  </si>
  <si>
    <t>Crew Miles</t>
  </si>
  <si>
    <t>Average Crew Size</t>
  </si>
  <si>
    <t>Source-2019, R-1, Sched. 755, Lines2-5</t>
  </si>
  <si>
    <t>Crew Size</t>
  </si>
  <si>
    <t>Estimated</t>
  </si>
  <si>
    <t>Cost/Locomotive</t>
  </si>
  <si>
    <t>R-1, Sched. 755, L.88</t>
  </si>
  <si>
    <t>R-1, Sched. 755, L.5</t>
  </si>
  <si>
    <t>New</t>
  </si>
  <si>
    <t>Units</t>
  </si>
  <si>
    <t>Weight</t>
  </si>
  <si>
    <t>Status</t>
  </si>
  <si>
    <t>DATA TABLE</t>
  </si>
  <si>
    <t>LINE NUMBER</t>
  </si>
  <si>
    <t>EQUIPMENT TYPE</t>
  </si>
  <si>
    <t>(a)</t>
  </si>
  <si>
    <t>(b)</t>
  </si>
  <si>
    <t>(c)</t>
  </si>
  <si>
    <t>(d)</t>
  </si>
  <si>
    <t>UP</t>
  </si>
  <si>
    <t>710S</t>
  </si>
  <si>
    <t xml:space="preserve">LOCOMOTIVES      </t>
  </si>
  <si>
    <t>TOTAL</t>
  </si>
  <si>
    <t>NEW</t>
  </si>
  <si>
    <t xml:space="preserve">REBUILT  </t>
  </si>
  <si>
    <t xml:space="preserve">FREIGHT CARS                </t>
  </si>
  <si>
    <t>HIGHWAY REVENUE</t>
  </si>
  <si>
    <t>CPSL</t>
  </si>
  <si>
    <t>KCS</t>
  </si>
  <si>
    <t>BNSF</t>
  </si>
  <si>
    <t>CNGT</t>
  </si>
  <si>
    <t>WORK EQUIPMENT</t>
  </si>
  <si>
    <t>CSX</t>
  </si>
  <si>
    <t>NS</t>
  </si>
  <si>
    <t>CAPITAL COST</t>
  </si>
  <si>
    <t>Capitalized 5-year Average Cost per Locomotive and 5-year Average Locomotive Rebuild Cost - Class I Fleet</t>
  </si>
  <si>
    <t>OPERATING COST</t>
  </si>
  <si>
    <t>LOCOMOTIVE 5 YEAR CAPITAL COST SUMMARY TABLE</t>
  </si>
  <si>
    <t>Repair and Maintenance</t>
  </si>
  <si>
    <t>Shop Buildings-Locomotives</t>
  </si>
  <si>
    <t>Locomotive Servicing Facilities</t>
  </si>
  <si>
    <t>RRID</t>
  </si>
  <si>
    <t>RR</t>
  </si>
  <si>
    <t>Category</t>
  </si>
  <si>
    <t>Account</t>
  </si>
  <si>
    <t>Salaries and Wages</t>
  </si>
  <si>
    <t>Materials, Supplies, Fuels and Lubricants</t>
  </si>
  <si>
    <t>Purchased Services</t>
  </si>
  <si>
    <t>General</t>
  </si>
  <si>
    <t>Total Freight</t>
  </si>
  <si>
    <t>EQUIP. SUB</t>
  </si>
  <si>
    <t>NEW/RBLT</t>
  </si>
  <si>
    <t># UNITS</t>
  </si>
  <si>
    <t>TOT WT</t>
  </si>
  <si>
    <t>TOT $</t>
  </si>
  <si>
    <t>Salary/Wage</t>
  </si>
  <si>
    <t>Mat/Supplies</t>
  </si>
  <si>
    <t>Purch. Serv.</t>
  </si>
  <si>
    <t>Total</t>
  </si>
  <si>
    <t>OPERATING AND FUEL DATA</t>
  </si>
  <si>
    <t>2 for Through Freight, 3 for Local Freight. Uses weighted average of way train-miles vs. other train-miles, R-1, sched. 755, L.2,3 &amp; 4.</t>
  </si>
  <si>
    <t>Annual Summary, Wage Form B, Line 600, Col.2</t>
  </si>
  <si>
    <t>Annual Summary, Wage Form B, Line 600, Col.4</t>
  </si>
  <si>
    <t>Annual Summary, Wage Form B, Line 600, Col.6</t>
  </si>
  <si>
    <t>Annual Summary, Wage Form B, Line 600, Col.12</t>
  </si>
  <si>
    <t>Overtime Hours Worked</t>
  </si>
  <si>
    <t>Straight-Time Hours Worked</t>
  </si>
  <si>
    <t>710A</t>
  </si>
  <si>
    <t>Diesel-Freight</t>
  </si>
  <si>
    <t>Diesel Passenger</t>
  </si>
  <si>
    <t>Diesel-Multiple purpose</t>
  </si>
  <si>
    <t>Diesel-Switching</t>
  </si>
  <si>
    <t>Total (Lines 1-4)</t>
  </si>
  <si>
    <t>Auxillary Units</t>
  </si>
  <si>
    <t>Total Locomotives (Lines 8, 9)</t>
  </si>
  <si>
    <t>Type or Design of Locomotive</t>
  </si>
  <si>
    <t>Aggregate Horsepower</t>
  </si>
  <si>
    <t>Units in Service - Jan 1</t>
  </si>
  <si>
    <t>Units in Service- Dec 31</t>
  </si>
  <si>
    <t>Avg. HP/ Unit</t>
  </si>
  <si>
    <t>Avg. Diesel Loco. in Service</t>
  </si>
  <si>
    <t>Freight</t>
  </si>
  <si>
    <t>Passenger</t>
  </si>
  <si>
    <t>Yard Switching</t>
  </si>
  <si>
    <t>Cost of Fuel ($)</t>
  </si>
  <si>
    <t>Work Train</t>
  </si>
  <si>
    <t>Gallons of Fuel Consumed</t>
  </si>
  <si>
    <t>Cost of Fuel</t>
  </si>
  <si>
    <t>RR ID</t>
  </si>
  <si>
    <t>Schd.</t>
  </si>
  <si>
    <t>Locomotive Service</t>
  </si>
  <si>
    <t>Gallons or $</t>
  </si>
  <si>
    <t>R-1, Schedule 710A, 750, 755</t>
  </si>
  <si>
    <t>R-1, Schedule 410</t>
  </si>
  <si>
    <t>R-1, Schedule 710S</t>
  </si>
  <si>
    <t>2. Train Miles</t>
  </si>
  <si>
    <t>Running - B</t>
  </si>
  <si>
    <t>Unit Trains</t>
  </si>
  <si>
    <t>Way Trains</t>
  </si>
  <si>
    <t>Running - B, J</t>
  </si>
  <si>
    <t>Through Trains</t>
  </si>
  <si>
    <t>Total Train Miles (Lines 2-4)</t>
  </si>
  <si>
    <t>Running - C, J</t>
  </si>
  <si>
    <t>Motorcars</t>
  </si>
  <si>
    <t>Total, All Trains (Lines 5,6)</t>
  </si>
  <si>
    <t>3. Locomotive Unit Miles</t>
  </si>
  <si>
    <t>Road Service - D, E</t>
  </si>
  <si>
    <t>Road Service - D, E, J</t>
  </si>
  <si>
    <t>Total Train Miles (Lines 8-10)</t>
  </si>
  <si>
    <t>Switching - D, F</t>
  </si>
  <si>
    <t>Train Switching</t>
  </si>
  <si>
    <t>Switching - D, G</t>
  </si>
  <si>
    <t>Total - D, J</t>
  </si>
  <si>
    <t>Total, All Services (Lines 11,12,13)</t>
  </si>
  <si>
    <t>5. Car Miles by Train Type</t>
  </si>
  <si>
    <t>Total by Train Type - I</t>
  </si>
  <si>
    <t>Total by Train Type - I, J</t>
  </si>
  <si>
    <t>Total (Lines 85-87)</t>
  </si>
  <si>
    <t>6. Gross Ton Miles</t>
  </si>
  <si>
    <t>Freight Train, Cars, Contents and Caboose - K</t>
  </si>
  <si>
    <t>Passenger Train Cars and Contents - K</t>
  </si>
  <si>
    <t>Passenger Trains</t>
  </si>
  <si>
    <t>Work Train, Official Train-Cars and Contents - K</t>
  </si>
  <si>
    <t>Non Revenue</t>
  </si>
  <si>
    <t>Total Gross Ton Miles - K</t>
  </si>
  <si>
    <t>Total Gross Ton Miles (Lines 98-103)</t>
  </si>
  <si>
    <t>7. Tons of Freight</t>
  </si>
  <si>
    <t>Car Contents-Revenue Tons - L</t>
  </si>
  <si>
    <t>Revenue</t>
  </si>
  <si>
    <t>Car Contents-Non Revenue Tons - L</t>
  </si>
  <si>
    <t>Non-Revenue</t>
  </si>
  <si>
    <t>Car Contents-Total Tons - L</t>
  </si>
  <si>
    <t>Total (Lines 105, 106)</t>
  </si>
  <si>
    <t>8. Ton-Miles of Freight</t>
  </si>
  <si>
    <t>Car Contents-Revenue Ton Miles - L</t>
  </si>
  <si>
    <t>Revenue-Road Service</t>
  </si>
  <si>
    <t>Revenue-Lake Transfer Service</t>
  </si>
  <si>
    <t>Total Revenue Ton Miles of Freight (Lines 108,109)</t>
  </si>
  <si>
    <t>Car Contents-Non Revenue Ton Miles - L</t>
  </si>
  <si>
    <t>Non Revenue-Road Service</t>
  </si>
  <si>
    <t>Non Revenue-Lake transferService</t>
  </si>
  <si>
    <t>Total Non Revenue Ton Miles of Freight (Lines 111, 112)</t>
  </si>
  <si>
    <t>Car Contents-Revenue and Non Revenue Ton Miles - L</t>
  </si>
  <si>
    <t>Total Revenue and Non Revenue Ton Miles of Freight (Lines 110, 113)</t>
  </si>
  <si>
    <t>9. Revenue Transportaion Hours</t>
  </si>
  <si>
    <t>Road Service Crew Running Hours (Includes Terminal Switching) - M</t>
  </si>
  <si>
    <t>Train Hours in Road Service</t>
  </si>
  <si>
    <t>Road Service Crew Switching Hours Included in Line 115 - M</t>
  </si>
  <si>
    <t>Train Hours of Switching in Road Service</t>
  </si>
  <si>
    <t>10. Revenue Yard Switching Hours</t>
  </si>
  <si>
    <t>Switching Hours by Crews in Yard Service - N</t>
  </si>
  <si>
    <t>Yard Switching Hours</t>
  </si>
  <si>
    <t>4. Other Car Miles</t>
  </si>
  <si>
    <t>Rallroad Owned or Leased Cars - Work - I</t>
  </si>
  <si>
    <t>Caboose Miles</t>
  </si>
  <si>
    <t>Locomotives - K</t>
  </si>
  <si>
    <t>Road Locomotives</t>
  </si>
  <si>
    <t>1. Miles of Road Operted</t>
  </si>
  <si>
    <t>Miles of Road Operated - A</t>
  </si>
  <si>
    <t>Miles of Road Operated</t>
  </si>
  <si>
    <t>4. Freight Car Miles</t>
  </si>
  <si>
    <t>Railroad Owned or Leased - Loaded - H, I</t>
  </si>
  <si>
    <t>Box-Plain 40 Foot</t>
  </si>
  <si>
    <t>Box-Plain 50 Foot and Longer</t>
  </si>
  <si>
    <t>Box-Equipped</t>
  </si>
  <si>
    <t>Gondola-Plain</t>
  </si>
  <si>
    <t>Gondola-Equipped</t>
  </si>
  <si>
    <t>Hopper-Covered</t>
  </si>
  <si>
    <t>Hopper-Open Top-General Service</t>
  </si>
  <si>
    <t>Hopper-Open Top-Special Service</t>
  </si>
  <si>
    <t>Refrigerator-Mechanical</t>
  </si>
  <si>
    <t>Refrigerator-Non-Mechanical</t>
  </si>
  <si>
    <t>Flat-TOFC/COFC</t>
  </si>
  <si>
    <t>Flat-Multi-Level</t>
  </si>
  <si>
    <t>Flat-General Service</t>
  </si>
  <si>
    <t>Flat Other</t>
  </si>
  <si>
    <t>Railroad Owned or Leased - Loaded - H, I, J</t>
  </si>
  <si>
    <t>All Other Car Types</t>
  </si>
  <si>
    <t>Total car Miles (Lines 15-29)</t>
  </si>
  <si>
    <t>Railroad Owned or Leased - Empty - H, I</t>
  </si>
  <si>
    <t>Railroad Owned or Leased - Empty - H, I, J</t>
  </si>
  <si>
    <t>Total Fcar Miles (Lines 31-45)</t>
  </si>
  <si>
    <t>Private Line Cars - Loaded - H, I</t>
  </si>
  <si>
    <t>Tank-Under 22,000 Gallons</t>
  </si>
  <si>
    <t>Tank-22,000 Gallons and Over</t>
  </si>
  <si>
    <t>Private Line Cars - Loaded - H, I, J</t>
  </si>
  <si>
    <t>Total Car Miles (Lines 47-63)</t>
  </si>
  <si>
    <t>Private Line Cars - Empty - H, I</t>
  </si>
  <si>
    <t>Private Line Cars - Empty - H, I, J</t>
  </si>
  <si>
    <t>Total Car Miles (Lines 65-81)</t>
  </si>
  <si>
    <t>Work Equipment Car Miles</t>
  </si>
  <si>
    <t>No Payment Car Miles</t>
  </si>
  <si>
    <t>11. Non Revenue Train Miles-Work Trains</t>
  </si>
  <si>
    <t>Miles Outside Yard Limits of Non Revenue Train Service - O</t>
  </si>
  <si>
    <t>Locomotives Hauled Trains</t>
  </si>
  <si>
    <t>Motorcar Hauled Trains</t>
  </si>
  <si>
    <t>12. Loaded Freight Train Cars</t>
  </si>
  <si>
    <t>Loaded Cars x Number of Trains in Which Car Moved - P</t>
  </si>
  <si>
    <t>13. Intermodal Units Loaded/Unloaded</t>
  </si>
  <si>
    <t>Trailers/Containers Loaded/Unloaded at Carrier Expense - Q</t>
  </si>
  <si>
    <t>Revenue Trailers/Containers Loaded/Unloaded</t>
  </si>
  <si>
    <t>14. Multi Level Cars-Vehicles Loaded/Unloaded</t>
  </si>
  <si>
    <t>Motor Vehicles Loaded/Unloaded at Carrier Expense - Q</t>
  </si>
  <si>
    <t>Multi Level Cars-Motor Vehicles Loaded/Unloaded</t>
  </si>
  <si>
    <t>15. Loaded Intermodal Units Picked Up/Delivered</t>
  </si>
  <si>
    <t>Trailers/Containers Picked Up/Delivered at Carrier Expense - R</t>
  </si>
  <si>
    <t>Loaded Trailers/Containers Picked Up/Delivered</t>
  </si>
  <si>
    <t>16. Revenue Marine Terminals</t>
  </si>
  <si>
    <t>Tons Loaded/Unloaded to Vessel at Carrier Expense - S</t>
  </si>
  <si>
    <t>Coal</t>
  </si>
  <si>
    <t>Ore</t>
  </si>
  <si>
    <t>Total (Lines 126-128)</t>
  </si>
  <si>
    <t xml:space="preserve">17. Number of Foreign Per Diem Cars on Line </t>
  </si>
  <si>
    <t>End of Year-Foreign Railroad Cars on Line - T</t>
  </si>
  <si>
    <t>Serviceable</t>
  </si>
  <si>
    <t>Unserviceable</t>
  </si>
  <si>
    <t>Annual Average - Cars on Line Empty &gt; 48 Hours - T</t>
  </si>
  <si>
    <t>Surplus</t>
  </si>
  <si>
    <t>Total - T</t>
  </si>
  <si>
    <t>Total (Lines 130-132)</t>
  </si>
  <si>
    <t>18. Intermodal Units per Intermodal Flat Car</t>
  </si>
  <si>
    <t>Revenue Units Loaded per Flat Car - U, V</t>
  </si>
  <si>
    <t>Revenue Intermodal Units per Intermodal Flat Car</t>
  </si>
  <si>
    <t>ColA</t>
  </si>
  <si>
    <t>ColB</t>
  </si>
  <si>
    <t>Metric Description</t>
  </si>
  <si>
    <t>Category - Instructions Reference</t>
  </si>
  <si>
    <t>Specific Decription</t>
  </si>
  <si>
    <t>Freight Service</t>
  </si>
  <si>
    <t>Train Miles-Unit Trains</t>
  </si>
  <si>
    <t>Train Miles-Way Trains</t>
  </si>
  <si>
    <t>Train Miles-Through Trains</t>
  </si>
  <si>
    <t>Train Miles-Total</t>
  </si>
  <si>
    <t>Locomotive Unit Miles-Unit Trains</t>
  </si>
  <si>
    <t>Locomotive Unit Miles-Way Trains</t>
  </si>
  <si>
    <t>Locomotive Unit Miles-Through Trains</t>
  </si>
  <si>
    <t>Locomotive Unit Miles-Total-Road Trains</t>
  </si>
  <si>
    <t>Locomotive Unit Miles-Train Switching</t>
  </si>
  <si>
    <t>Locomotive Unit Miles-Yard Switching</t>
  </si>
  <si>
    <t>Locmotive Unit Miles-Total-Road and Switching</t>
  </si>
  <si>
    <t>Freight Car Miles-Unit Trains</t>
  </si>
  <si>
    <t>Freight Car Miles-Way Trains</t>
  </si>
  <si>
    <t>Freight Car Miles-Through Trains</t>
  </si>
  <si>
    <t>Freight Car Miles-Total</t>
  </si>
  <si>
    <t>Train Hours-Road Service</t>
  </si>
  <si>
    <t>Train Hours-Road Switching</t>
  </si>
  <si>
    <t>Train Hours-Yard Service</t>
  </si>
  <si>
    <r>
      <t xml:space="preserve">See LocomotiveData tab for details of </t>
    </r>
    <r>
      <rPr>
        <b/>
        <i/>
        <sz val="10"/>
        <color theme="1"/>
        <rFont val="Calibri"/>
        <family val="2"/>
        <scheme val="minor"/>
      </rPr>
      <t>operating metrics and fuel utilization/cost</t>
    </r>
  </si>
  <si>
    <r>
      <t xml:space="preserve">See LocomotiveData tab for details of </t>
    </r>
    <r>
      <rPr>
        <b/>
        <i/>
        <sz val="10"/>
        <color theme="1"/>
        <rFont val="Calibri"/>
        <family val="2"/>
        <scheme val="minor"/>
      </rPr>
      <t>locomotive acquisitions and rebuilds</t>
    </r>
  </si>
  <si>
    <r>
      <t xml:space="preserve">See LocomotiveData tab for details of </t>
    </r>
    <r>
      <rPr>
        <b/>
        <i/>
        <sz val="10"/>
        <color theme="1"/>
        <rFont val="Calibri"/>
        <family val="2"/>
        <scheme val="minor"/>
      </rPr>
      <t>operating costs</t>
    </r>
  </si>
  <si>
    <t xml:space="preserve">  Estimate of fleet replacement/upgrade capital cost at regulatory cost of capital</t>
  </si>
  <si>
    <t>Locomotive Operating Expenses (less fuel and depreciation) from R-1</t>
  </si>
  <si>
    <t>FREIGHT CAR 5 YEAR CAPITAL COST SUMMARY TABLE</t>
  </si>
  <si>
    <t>* R-1, Sched 710S</t>
  </si>
  <si>
    <t>Total Cost*</t>
  </si>
  <si>
    <t>Cost/Car</t>
  </si>
  <si>
    <t>Shop Buildings-Freight Cars</t>
  </si>
  <si>
    <t>Freight Equipment Description</t>
  </si>
  <si>
    <t>Other Cars in Service - Jan 1</t>
  </si>
  <si>
    <t>Time/Mileage Cars in Service - Jan 1</t>
  </si>
  <si>
    <t>Time/Mileage Cars in Service - Dec 31</t>
  </si>
  <si>
    <t>Other Cars in Service - Dec 31</t>
  </si>
  <si>
    <t>Aggregate Cap'y- Cars in Service</t>
  </si>
  <si>
    <t>Average Cap'y- Cars in Service</t>
  </si>
  <si>
    <t>710D</t>
  </si>
  <si>
    <t>Flat-Other</t>
  </si>
  <si>
    <t>All Other Freight Cars</t>
  </si>
  <si>
    <t>Total (Lines 36-52)</t>
  </si>
  <si>
    <t>Cabooses</t>
  </si>
  <si>
    <t>Total (Lines 53-54)</t>
  </si>
  <si>
    <t>Average Freight Cars in Service</t>
  </si>
  <si>
    <t>Jan-1-19</t>
  </si>
  <si>
    <t>Dec-31-19</t>
  </si>
  <si>
    <t>AGG.Tons</t>
  </si>
  <si>
    <t>Avg Tons</t>
  </si>
  <si>
    <t>-</t>
  </si>
  <si>
    <t>All R-1, Schedule 755 data from LocomotiveData tab</t>
  </si>
  <si>
    <r>
      <t xml:space="preserve">See FreightCarData tab for details of </t>
    </r>
    <r>
      <rPr>
        <b/>
        <i/>
        <sz val="10"/>
        <color theme="1"/>
        <rFont val="Calibri"/>
        <family val="2"/>
        <scheme val="minor"/>
      </rPr>
      <t>Class I freight car operating cost</t>
    </r>
  </si>
  <si>
    <t>Crew Cost and Hours Worked</t>
  </si>
  <si>
    <t>Annual Summary, STB-Wage Form B,Line 600</t>
  </si>
  <si>
    <t>Railroad</t>
  </si>
  <si>
    <t>CSXT</t>
  </si>
  <si>
    <t>(2)</t>
  </si>
  <si>
    <t>(4)</t>
  </si>
  <si>
    <t>(6)</t>
  </si>
  <si>
    <t>(12)</t>
  </si>
  <si>
    <t>T&amp;E Employees</t>
  </si>
  <si>
    <t>Straight Time Hours Worked</t>
  </si>
  <si>
    <t>Total Wage Compensation</t>
  </si>
  <si>
    <t>Total T&amp;E Fringe Benefits</t>
  </si>
  <si>
    <t>Overtime Hours Paid For</t>
  </si>
  <si>
    <t>Train Operations</t>
  </si>
  <si>
    <t>Engine Crews</t>
  </si>
  <si>
    <t>Train Crews</t>
  </si>
  <si>
    <t>Dispatching Trains</t>
  </si>
  <si>
    <t>Operating Signals and Interlockers</t>
  </si>
  <si>
    <t>Operating Drawbridges</t>
  </si>
  <si>
    <t>Highway Crossing Protection</t>
  </si>
  <si>
    <t>Train Inspection and Lubrication</t>
  </si>
  <si>
    <t>Locomotive Fuel</t>
  </si>
  <si>
    <t>Electric Power for Motive Power</t>
  </si>
  <si>
    <t>Servicing Locomotives</t>
  </si>
  <si>
    <t>Freight Lost or Damaged-Solely Related</t>
  </si>
  <si>
    <t>Clearing Wrecks</t>
  </si>
  <si>
    <t>Joint Faciity-Debit</t>
  </si>
  <si>
    <t>Total Train Operations</t>
  </si>
  <si>
    <t>Yard Operations</t>
  </si>
  <si>
    <t>Switch Crews</t>
  </si>
  <si>
    <t>Controlling Operations</t>
  </si>
  <si>
    <t>Yard and Terminal Clerical</t>
  </si>
  <si>
    <t>Operating Switches, Signals Retarders and Humps</t>
  </si>
  <si>
    <t>Freight Lost and Damaged-Solely Related</t>
  </si>
  <si>
    <t>Total Yard Operations</t>
  </si>
  <si>
    <t>T&amp;E Wage Comp. % of Total Train/Yard Ops.</t>
  </si>
  <si>
    <t>Total Train/Yard Ops. Fringe Benefit</t>
  </si>
  <si>
    <t>T&amp;E Fringe Benefit</t>
  </si>
  <si>
    <t>Freight Equipment Page</t>
  </si>
  <si>
    <t>Capitalized 5-Year Capital Cost for Intermodal Highway Units</t>
  </si>
  <si>
    <t xml:space="preserve">Capitalized 5-Year Capital Cost for Freight Cars </t>
  </si>
  <si>
    <t>Installed Intermodal Units*</t>
  </si>
  <si>
    <t>CAPITAL COST - FREIGHT CARS</t>
  </si>
  <si>
    <t>CAPITAL COST - INTERMODAL HIGHWAY UNITS</t>
  </si>
  <si>
    <t>IM Hwy Units</t>
  </si>
  <si>
    <t>Weight per Intermodal Unit</t>
  </si>
  <si>
    <t>Est: $75/ton scrap val. &amp; 30 tons/car; 4.39 Tons/IMU</t>
  </si>
  <si>
    <t>Intermodal Highway Equipment</t>
  </si>
  <si>
    <t>30 Years to Rebuild per Car; 5 Years to scrap per IMU</t>
  </si>
  <si>
    <t>Freight Casrs-RR Facts, page 9; IMU-</t>
  </si>
  <si>
    <t>See: Capital Cost - Freight Cars Data Table for Schedule 710-S Data on Highway Equipment</t>
  </si>
  <si>
    <t>DATA TABLE - Schedule 410</t>
  </si>
  <si>
    <t>Other Equipment</t>
  </si>
  <si>
    <t>Trucks, Trailers and Containers-Repair and Maint.</t>
  </si>
  <si>
    <t>Floating Equipment-Repair and Maint.</t>
  </si>
  <si>
    <t>Passenger and Other Revenue Equipment-Repair and Maint.</t>
  </si>
  <si>
    <t>Computer Systems and Equipment-Repair and Maint.</t>
  </si>
  <si>
    <t>Machinery-Repair and Maint.</t>
  </si>
  <si>
    <t>Work and Other Non-Revenue Equipment-Repair and Maint.</t>
  </si>
  <si>
    <t>Total-Other Equipment</t>
  </si>
  <si>
    <t>Total Equipment</t>
  </si>
  <si>
    <t>Proportion of Total Represented by Highway Equipment</t>
  </si>
  <si>
    <t>%IBU Maint./Total</t>
  </si>
  <si>
    <r>
      <t xml:space="preserve">See FreightEquipData tab for details of </t>
    </r>
    <r>
      <rPr>
        <b/>
        <i/>
        <sz val="10"/>
        <color theme="1"/>
        <rFont val="Calibri"/>
        <family val="2"/>
        <scheme val="minor"/>
      </rPr>
      <t>Class I freight cars in service computation</t>
    </r>
  </si>
  <si>
    <r>
      <t xml:space="preserve">See FrtEquipData tab for details of </t>
    </r>
    <r>
      <rPr>
        <b/>
        <i/>
        <sz val="10"/>
        <color theme="1"/>
        <rFont val="Calibri"/>
        <family val="2"/>
        <scheme val="minor"/>
      </rPr>
      <t>Class I freight car and intermodal unit acquisitions and rebuilds</t>
    </r>
  </si>
  <si>
    <r>
      <t xml:space="preserve">See FreightEquipData tab for details of </t>
    </r>
    <r>
      <rPr>
        <b/>
        <i/>
        <sz val="10"/>
        <color theme="1"/>
        <rFont val="Calibri"/>
        <family val="2"/>
        <scheme val="minor"/>
      </rPr>
      <t>Class I IMU in service computation</t>
    </r>
  </si>
  <si>
    <t>Intermodal Units</t>
  </si>
  <si>
    <t>IMU in Service Jan 1 2019</t>
  </si>
  <si>
    <t>Average Cost/Unit</t>
  </si>
  <si>
    <t>Rep./Maint. - IMU</t>
  </si>
  <si>
    <t>Net IMU Operating Expense</t>
  </si>
  <si>
    <t>Intermodal Highway Unit</t>
  </si>
  <si>
    <t>Freight Car</t>
  </si>
  <si>
    <t>Total Freight Car Cost Per:</t>
  </si>
  <si>
    <t>Freight Car Operating Expense per:</t>
  </si>
  <si>
    <t>Sched 410, L 302, Col f</t>
  </si>
  <si>
    <t>Sched 410,L 309,Col f (prorated)</t>
  </si>
  <si>
    <t>Sched 410, L 311,Col f (prorated)</t>
  </si>
  <si>
    <t>Sched 410, L 320, Col f (prorated)</t>
  </si>
  <si>
    <t>Sched 410, L 224, Col f (prorated)</t>
  </si>
  <si>
    <t>Freight Cars per Train</t>
  </si>
  <si>
    <t>Intermodal Highway Units, Schedule 710F</t>
  </si>
  <si>
    <t>Data Table - Schedule 710D</t>
  </si>
  <si>
    <t>Data Table - Schedule 710 F</t>
  </si>
  <si>
    <t>UNITS IN SERVICE</t>
  </si>
  <si>
    <t>710F</t>
  </si>
  <si>
    <t>Chassis</t>
  </si>
  <si>
    <t>Dry Van</t>
  </si>
  <si>
    <t>Flat Bed</t>
  </si>
  <si>
    <t>Open Bed</t>
  </si>
  <si>
    <t>Mechanical Refrigerator</t>
  </si>
  <si>
    <t>Bulk Hopper</t>
  </si>
  <si>
    <t>Insulated</t>
  </si>
  <si>
    <t>Tank</t>
  </si>
  <si>
    <t>Other Trailer and Container</t>
  </si>
  <si>
    <t>Tractor</t>
  </si>
  <si>
    <t>Truck</t>
  </si>
  <si>
    <t>Total (Lines 59-69)</t>
  </si>
  <si>
    <t>Highway Equipment Description</t>
  </si>
  <si>
    <t>Time/Mileage Units in Service - Jan 1</t>
  </si>
  <si>
    <t>Other Units in Service - Jan 1</t>
  </si>
  <si>
    <t>Time/Mileage Units in Service - Dec 31</t>
  </si>
  <si>
    <t>Other Units in Service - Dec 31</t>
  </si>
  <si>
    <t>Average Cap'y- Units in Service</t>
  </si>
  <si>
    <t>Aggregate Cap'y- Units in Service</t>
  </si>
  <si>
    <t>Total- Jan 1, 2019</t>
  </si>
  <si>
    <t>Total- Dec 31, 2019</t>
  </si>
  <si>
    <t>Annual Average</t>
  </si>
  <si>
    <t>INTERMODAL HIGHWAY UNITS PER TRAIN</t>
  </si>
  <si>
    <t>S116</t>
  </si>
  <si>
    <t>S312</t>
  </si>
  <si>
    <t>S313</t>
  </si>
  <si>
    <t>S615</t>
  </si>
  <si>
    <t>S619</t>
  </si>
  <si>
    <t>S610</t>
  </si>
  <si>
    <t>S137</t>
  </si>
  <si>
    <t>S138</t>
  </si>
  <si>
    <t>Q733</t>
  </si>
  <si>
    <t>Q734</t>
  </si>
  <si>
    <t>Q730</t>
  </si>
  <si>
    <t>S333</t>
  </si>
  <si>
    <t>S332</t>
  </si>
  <si>
    <t>S635</t>
  </si>
  <si>
    <t>S162</t>
  </si>
  <si>
    <t>S169</t>
  </si>
  <si>
    <t>S175</t>
  </si>
  <si>
    <t>S174</t>
  </si>
  <si>
    <t>S159</t>
  </si>
  <si>
    <t>S367</t>
  </si>
  <si>
    <t>S161</t>
  </si>
  <si>
    <t>S150</t>
  </si>
  <si>
    <t>Q752</t>
  </si>
  <si>
    <t>Q753</t>
  </si>
  <si>
    <t>S556</t>
  </si>
  <si>
    <t>S350</t>
  </si>
  <si>
    <t>Q811</t>
  </si>
  <si>
    <t>Q813</t>
  </si>
  <si>
    <t>Wells per Car</t>
  </si>
  <si>
    <t>Equipment</t>
  </si>
  <si>
    <t>Type Code</t>
  </si>
  <si>
    <t>Wells in Fleet</t>
  </si>
  <si>
    <t>of Cars</t>
  </si>
  <si>
    <t>Data Table - UMLER Freight car Data- Wells per Intermodal Flat Car - Car Types Which Have More Than 100 Cars in Type</t>
  </si>
  <si>
    <t>Containers</t>
  </si>
  <si>
    <t>Originated</t>
  </si>
  <si>
    <t>Data Table - 2019 - Loaded Containers Originated and Handled</t>
  </si>
  <si>
    <t>Railraoad</t>
  </si>
  <si>
    <t>Capacity</t>
  </si>
  <si>
    <t>Units per Well</t>
  </si>
  <si>
    <t>Total Unit</t>
  </si>
  <si>
    <t>Units per Car</t>
  </si>
  <si>
    <t>R-1,Sch.755</t>
  </si>
  <si>
    <t>Source 2019</t>
  </si>
  <si>
    <t>Loaded Intermodal Freight Car Miles</t>
  </si>
  <si>
    <t>Empty Intermodal Freight Car Miles</t>
  </si>
  <si>
    <t>Total Loaded Freight Car Miles</t>
  </si>
  <si>
    <t>Other Loaded Freight Car Miles</t>
  </si>
  <si>
    <t>Other Empty Freight Car Miles</t>
  </si>
  <si>
    <t>PR</t>
  </si>
  <si>
    <t>Total Freight Car Miles-Unit Trains</t>
  </si>
  <si>
    <t>Total Freight Car Miles-Way Trains</t>
  </si>
  <si>
    <t>Total Freight Car Miles-Through Trains</t>
  </si>
  <si>
    <t>Total Empty Freight Car Miles</t>
  </si>
  <si>
    <t>Total Freight Car Miles</t>
  </si>
  <si>
    <t>Work Train Car Miles</t>
  </si>
  <si>
    <t>Total Intermodal Car Miles</t>
  </si>
  <si>
    <t>Other Through Train Freight Car Miles</t>
  </si>
  <si>
    <t>Total Non-Intermodal Freight Car Miles</t>
  </si>
  <si>
    <t>Average Cars per Train-All Trains</t>
  </si>
  <si>
    <t>Total Train Miles-All Trains</t>
  </si>
  <si>
    <t>Average Cars per Train-Unit Trains</t>
  </si>
  <si>
    <t>Average Cars per Train-Way Trains</t>
  </si>
  <si>
    <t>Average Cars per Train-Through Trains</t>
  </si>
  <si>
    <t>Intermodal-Percent Loaded Car Miles</t>
  </si>
  <si>
    <t xml:space="preserve">Loaded </t>
  </si>
  <si>
    <t>Cars</t>
  </si>
  <si>
    <t>Loaded</t>
  </si>
  <si>
    <t>RR-L</t>
  </si>
  <si>
    <t>RR-E</t>
  </si>
  <si>
    <t>PVT-L</t>
  </si>
  <si>
    <t>PVT-E</t>
  </si>
  <si>
    <t>AAR1 Car Type</t>
  </si>
  <si>
    <t>Sched 755 Car Type</t>
  </si>
  <si>
    <t>B</t>
  </si>
  <si>
    <t>A</t>
  </si>
  <si>
    <t>G</t>
  </si>
  <si>
    <t>E</t>
  </si>
  <si>
    <t>C</t>
  </si>
  <si>
    <t>H</t>
  </si>
  <si>
    <t>R</t>
  </si>
  <si>
    <t>V</t>
  </si>
  <si>
    <t>F</t>
  </si>
  <si>
    <t>T</t>
  </si>
  <si>
    <t>M</t>
  </si>
  <si>
    <t>J</t>
  </si>
  <si>
    <t>K</t>
  </si>
  <si>
    <t>Q</t>
  </si>
  <si>
    <t>S</t>
  </si>
  <si>
    <t>L</t>
  </si>
  <si>
    <t>Total Car Miles</t>
  </si>
  <si>
    <t>Car Multiplier</t>
  </si>
  <si>
    <t>CARS PER TYPE OF TRAIN AND CAR CHARACTERISTICS WITHIN TRAINS</t>
  </si>
  <si>
    <t>Loaded Car Miles</t>
  </si>
  <si>
    <t>Empty Car Miles</t>
  </si>
  <si>
    <t>Schedule 755 Line Reference</t>
  </si>
  <si>
    <t>Where Two Sched. 755 Car Types = One AAR Car Type</t>
  </si>
  <si>
    <t>Will  Not = Sum of Loaded, Empty Or Total Car Miles in This Table -&gt;</t>
  </si>
  <si>
    <t>Only Car Types Q and S in 2019 STB Stratification Reports</t>
  </si>
  <si>
    <t>Wells</t>
  </si>
  <si>
    <t>Wells/Car</t>
  </si>
  <si>
    <t>Rev.Units/Well</t>
  </si>
  <si>
    <t>Rev. Units/Car</t>
  </si>
  <si>
    <t>Theoretical</t>
  </si>
  <si>
    <t>Actual</t>
  </si>
  <si>
    <t>01</t>
  </si>
  <si>
    <t>Farm Products</t>
  </si>
  <si>
    <t>08</t>
  </si>
  <si>
    <t>Forest Products</t>
  </si>
  <si>
    <t>09</t>
  </si>
  <si>
    <t>Marine Products</t>
  </si>
  <si>
    <t>10</t>
  </si>
  <si>
    <t>Metallic Ores</t>
  </si>
  <si>
    <t>11</t>
  </si>
  <si>
    <t>Coal Products</t>
  </si>
  <si>
    <t>13</t>
  </si>
  <si>
    <t>Petroleum Products</t>
  </si>
  <si>
    <t>14</t>
  </si>
  <si>
    <t>Nonmetallic Minerals</t>
  </si>
  <si>
    <t>19</t>
  </si>
  <si>
    <t>Ordnance</t>
  </si>
  <si>
    <t>20</t>
  </si>
  <si>
    <t>Food Products</t>
  </si>
  <si>
    <t>21</t>
  </si>
  <si>
    <t>Tobacco Products</t>
  </si>
  <si>
    <t>22</t>
  </si>
  <si>
    <t>Textile Mill Products</t>
  </si>
  <si>
    <t>23</t>
  </si>
  <si>
    <t>Finished Textiles</t>
  </si>
  <si>
    <t>24</t>
  </si>
  <si>
    <t>Wood Products</t>
  </si>
  <si>
    <t>25</t>
  </si>
  <si>
    <t>Furniture</t>
  </si>
  <si>
    <t>26</t>
  </si>
  <si>
    <t>Pulp &amp; Paper Products</t>
  </si>
  <si>
    <t>27</t>
  </si>
  <si>
    <t>Printed Matter</t>
  </si>
  <si>
    <t>28</t>
  </si>
  <si>
    <t>Chemical Products</t>
  </si>
  <si>
    <t>29</t>
  </si>
  <si>
    <t>Petroleum or Coal Products</t>
  </si>
  <si>
    <t>30</t>
  </si>
  <si>
    <t>Plastic Products</t>
  </si>
  <si>
    <t>31</t>
  </si>
  <si>
    <t>Leather Products</t>
  </si>
  <si>
    <t>32</t>
  </si>
  <si>
    <t>Stone &amp; Glass Products</t>
  </si>
  <si>
    <t>33</t>
  </si>
  <si>
    <t>Metal Products</t>
  </si>
  <si>
    <t>34</t>
  </si>
  <si>
    <t>Fabricated Metal Products</t>
  </si>
  <si>
    <t>35</t>
  </si>
  <si>
    <t>Machinery</t>
  </si>
  <si>
    <t>36</t>
  </si>
  <si>
    <t>Electrical Machinery</t>
  </si>
  <si>
    <t>37</t>
  </si>
  <si>
    <t>Transportation Equipment</t>
  </si>
  <si>
    <t>38</t>
  </si>
  <si>
    <t>Scientific Instruments</t>
  </si>
  <si>
    <t>39</t>
  </si>
  <si>
    <t>Miscellaneous Products</t>
  </si>
  <si>
    <t>40</t>
  </si>
  <si>
    <t>Scrap Materials</t>
  </si>
  <si>
    <t>41</t>
  </si>
  <si>
    <t>Miscellaneous Freight</t>
  </si>
  <si>
    <t>42</t>
  </si>
  <si>
    <t>Empty Containers</t>
  </si>
  <si>
    <t>43</t>
  </si>
  <si>
    <t>Express Mail</t>
  </si>
  <si>
    <t>44</t>
  </si>
  <si>
    <t>Freight Forwarder Traffic</t>
  </si>
  <si>
    <t>45</t>
  </si>
  <si>
    <t>Shipper Association Traffic</t>
  </si>
  <si>
    <t>46</t>
  </si>
  <si>
    <t>Misc Mixed Shipments Exc, Forwarded</t>
  </si>
  <si>
    <t>47</t>
  </si>
  <si>
    <t>Small Packages</t>
  </si>
  <si>
    <t>48</t>
  </si>
  <si>
    <t>Hazardous Waste</t>
  </si>
  <si>
    <t>TOTAL (released data)</t>
  </si>
  <si>
    <t>ALL</t>
  </si>
  <si>
    <t>Carloads</t>
  </si>
  <si>
    <t>Tons</t>
  </si>
  <si>
    <t>Revenues</t>
  </si>
  <si>
    <t>Variable Costs</t>
  </si>
  <si>
    <t>STCC2</t>
  </si>
  <si>
    <t>Commodity</t>
  </si>
  <si>
    <t>Weekly Rail Traffic (includes 1.2 Million Units of Canadian Domestic Traffic not measured by STB)</t>
  </si>
  <si>
    <t>Car Type</t>
  </si>
  <si>
    <t>Revenue Units per Freight Car</t>
  </si>
  <si>
    <t>Loaded Freight Car Multiplier</t>
  </si>
  <si>
    <t>Variable Cost</t>
  </si>
  <si>
    <t>STCC5</t>
  </si>
  <si>
    <t>Commodity Name</t>
  </si>
  <si>
    <t>01141</t>
  </si>
  <si>
    <t>Cottonseeds</t>
  </si>
  <si>
    <t>01191</t>
  </si>
  <si>
    <t>Fodder, Ray or Roughage</t>
  </si>
  <si>
    <t>01341</t>
  </si>
  <si>
    <t>Beans, Dry Ripe</t>
  </si>
  <si>
    <t>01342</t>
  </si>
  <si>
    <t>Peas, Dry</t>
  </si>
  <si>
    <t>20332</t>
  </si>
  <si>
    <t>Canned Vegetables</t>
  </si>
  <si>
    <t>20336</t>
  </si>
  <si>
    <t>Catsup or Other Tomato Sauces</t>
  </si>
  <si>
    <t>20411</t>
  </si>
  <si>
    <t>Wheat Flour</t>
  </si>
  <si>
    <t>20413</t>
  </si>
  <si>
    <t>Corn Meal or Flour</t>
  </si>
  <si>
    <t>20421</t>
  </si>
  <si>
    <t>Prepared Feed, Animal, Fish or Poultry</t>
  </si>
  <si>
    <t>20441</t>
  </si>
  <si>
    <t>Rice, Cleaned</t>
  </si>
  <si>
    <t>20621</t>
  </si>
  <si>
    <t>Sugar, Granulated or Powdered</t>
  </si>
  <si>
    <t>20821</t>
  </si>
  <si>
    <t>Beer</t>
  </si>
  <si>
    <t>20841</t>
  </si>
  <si>
    <t>Wine, Brandy or Brandy Spirits</t>
  </si>
  <si>
    <t>20995</t>
  </si>
  <si>
    <t>Mixed Loads Of Food or Kindered Products</t>
  </si>
  <si>
    <t>24321</t>
  </si>
  <si>
    <t>Plywood or Veneer or Built-up Wood</t>
  </si>
  <si>
    <t>24991</t>
  </si>
  <si>
    <t>24996</t>
  </si>
  <si>
    <t>Wood Particle Board</t>
  </si>
  <si>
    <t>26111</t>
  </si>
  <si>
    <t>Pulp</t>
  </si>
  <si>
    <t>26211</t>
  </si>
  <si>
    <t>Newsprint</t>
  </si>
  <si>
    <t>26212</t>
  </si>
  <si>
    <t>Ground Wood Paper, Uncoated</t>
  </si>
  <si>
    <t>26213</t>
  </si>
  <si>
    <t>Printing Paper, Coated or Uncoated</t>
  </si>
  <si>
    <t>26214</t>
  </si>
  <si>
    <t>Wrapping Paper, Wrappers, or Coarse Paper</t>
  </si>
  <si>
    <t>26311</t>
  </si>
  <si>
    <t>Fibreboard, Paperboard or Pulpboard</t>
  </si>
  <si>
    <t>28126</t>
  </si>
  <si>
    <t>Barium, Calcium, Magnesium or Strontium Compunds</t>
  </si>
  <si>
    <t>28212</t>
  </si>
  <si>
    <t>Synthetic Rubbers</t>
  </si>
  <si>
    <t>28991</t>
  </si>
  <si>
    <t>Salt, Common</t>
  </si>
  <si>
    <t>29523</t>
  </si>
  <si>
    <t>Asphalt Sheathings, Shingles or Sidings</t>
  </si>
  <si>
    <t>32511</t>
  </si>
  <si>
    <t>Brick or Blocks, Clay or Shale</t>
  </si>
  <si>
    <t>32719</t>
  </si>
  <si>
    <t>Concrete Products, Nec</t>
  </si>
  <si>
    <t>32752</t>
  </si>
  <si>
    <t>Gypsum Plaster</t>
  </si>
  <si>
    <t>32754</t>
  </si>
  <si>
    <t>Gypsum Wallboard</t>
  </si>
  <si>
    <t>32952</t>
  </si>
  <si>
    <t>Light Weight Aggregates, Clays or Slags</t>
  </si>
  <si>
    <t>33123</t>
  </si>
  <si>
    <t>Iron or Steel Sheet or Strip</t>
  </si>
  <si>
    <t>33127</t>
  </si>
  <si>
    <t>Tin Mill Products</t>
  </si>
  <si>
    <t>33311</t>
  </si>
  <si>
    <t>Primary Copper or Copper Base Alloy Pig</t>
  </si>
  <si>
    <t>33321</t>
  </si>
  <si>
    <t>Lead Pig, Slab, Ingots or Bullion</t>
  </si>
  <si>
    <t>33331</t>
  </si>
  <si>
    <t>Zinc Smelter Products</t>
  </si>
  <si>
    <t>33341</t>
  </si>
  <si>
    <t>Primary Aluminum Ingots</t>
  </si>
  <si>
    <t>37149</t>
  </si>
  <si>
    <t>Motor Vehicle Accessories or Parts, Nec</t>
  </si>
  <si>
    <t>37422</t>
  </si>
  <si>
    <t>Freight Train Cars</t>
  </si>
  <si>
    <t>37426</t>
  </si>
  <si>
    <t>Railroad Car Wheels</t>
  </si>
  <si>
    <t>40241</t>
  </si>
  <si>
    <t>Paper Waste or Scrap</t>
  </si>
  <si>
    <t>42311</t>
  </si>
  <si>
    <t>Revenue Movement Of Containers,Carriers Or Device</t>
  </si>
  <si>
    <t>42312</t>
  </si>
  <si>
    <t>Revenue Moves Of Shipping Devices</t>
  </si>
  <si>
    <t>01131</t>
  </si>
  <si>
    <t>Barley</t>
  </si>
  <si>
    <t>01132</t>
  </si>
  <si>
    <t>Corn</t>
  </si>
  <si>
    <t>01133</t>
  </si>
  <si>
    <t>Oats</t>
  </si>
  <si>
    <t>01136</t>
  </si>
  <si>
    <t>Sorghum Grains</t>
  </si>
  <si>
    <t>01137</t>
  </si>
  <si>
    <t>Wheat</t>
  </si>
  <si>
    <t>01139</t>
  </si>
  <si>
    <t>Grain, Nec</t>
  </si>
  <si>
    <t>01143</t>
  </si>
  <si>
    <t>Peanuts</t>
  </si>
  <si>
    <t>01144</t>
  </si>
  <si>
    <t>Soybeans (Soya Beans)</t>
  </si>
  <si>
    <t>01149</t>
  </si>
  <si>
    <t>Oil Kernels, Nuts or Seeds</t>
  </si>
  <si>
    <t>01159</t>
  </si>
  <si>
    <t>Field Seeds, Nec</t>
  </si>
  <si>
    <t>01343</t>
  </si>
  <si>
    <t>Cowpeas, Lentils or Lupines</t>
  </si>
  <si>
    <t>10513</t>
  </si>
  <si>
    <t>Calcinpd or Activated Bauxite Ores</t>
  </si>
  <si>
    <t>10929</t>
  </si>
  <si>
    <t>Miscellaneous Metal Ores, Nec</t>
  </si>
  <si>
    <t>14413</t>
  </si>
  <si>
    <t>Industrial Sand, Crude, Ground or Pulverized</t>
  </si>
  <si>
    <t>14711</t>
  </si>
  <si>
    <t>Barite, Crude</t>
  </si>
  <si>
    <t>14715</t>
  </si>
  <si>
    <t>Rock Salt, Crude, Crushed, Lump or Screened</t>
  </si>
  <si>
    <t>14918</t>
  </si>
  <si>
    <t>Diatomaceous or Infusorial Earth, Crude</t>
  </si>
  <si>
    <t>14919</t>
  </si>
  <si>
    <t>Nonmetallic Minerals, Loam, Soil or Top</t>
  </si>
  <si>
    <t>20144</t>
  </si>
  <si>
    <t>Animal Refuse, Tankage, Meat Meal</t>
  </si>
  <si>
    <t>20149</t>
  </si>
  <si>
    <t>Animal By-products, Inedible, Nec</t>
  </si>
  <si>
    <t>20343</t>
  </si>
  <si>
    <t>Dehydrated or Dried Potatoes or Products</t>
  </si>
  <si>
    <t>20412</t>
  </si>
  <si>
    <t>Wheat Bran, Middlings or Shorts</t>
  </si>
  <si>
    <t>20416</t>
  </si>
  <si>
    <t>Oat Meal or Flour</t>
  </si>
  <si>
    <t>20418</t>
  </si>
  <si>
    <t>Grain Mill By-products</t>
  </si>
  <si>
    <t>20419</t>
  </si>
  <si>
    <t>Flour or Other Grain Mill Products, Nec</t>
  </si>
  <si>
    <t>20443</t>
  </si>
  <si>
    <t>Brewers Rice</t>
  </si>
  <si>
    <t>20449</t>
  </si>
  <si>
    <t>Milled Rice or By-products, Nec</t>
  </si>
  <si>
    <t>20462</t>
  </si>
  <si>
    <t>Corn Starch</t>
  </si>
  <si>
    <t>20463</t>
  </si>
  <si>
    <t>Corn Sugar</t>
  </si>
  <si>
    <t>20467</t>
  </si>
  <si>
    <t>Wet Process Corn Mill Products</t>
  </si>
  <si>
    <t>20471</t>
  </si>
  <si>
    <t>Dog, Cat or Other Pet Food, Nec</t>
  </si>
  <si>
    <t>20619</t>
  </si>
  <si>
    <t>Sugar Mill Products</t>
  </si>
  <si>
    <t>20823</t>
  </si>
  <si>
    <t>Malt Extracts or Brewers Spent Grains</t>
  </si>
  <si>
    <t>20831</t>
  </si>
  <si>
    <t>Malt</t>
  </si>
  <si>
    <t>20859</t>
  </si>
  <si>
    <t>By-products Of Liquor Distilling</t>
  </si>
  <si>
    <t>20914</t>
  </si>
  <si>
    <t>Cottonseed Cake or Meal or By-products</t>
  </si>
  <si>
    <t>20923</t>
  </si>
  <si>
    <t>Soybean Cake, Flour, Manufacing Oils</t>
  </si>
  <si>
    <t>20939</t>
  </si>
  <si>
    <t>Nut or Vegetable Oil Seed</t>
  </si>
  <si>
    <t>24117</t>
  </si>
  <si>
    <t>Fuelwood, Hogfuel or Cordwood</t>
  </si>
  <si>
    <t>28123</t>
  </si>
  <si>
    <t>Sodium Compounds</t>
  </si>
  <si>
    <t>28125</t>
  </si>
  <si>
    <t>Potassrum</t>
  </si>
  <si>
    <t>28180</t>
  </si>
  <si>
    <t>Industrial Organic Chemicals, Nec</t>
  </si>
  <si>
    <t>28181</t>
  </si>
  <si>
    <t>Miscellaneous Acyclic Organic Chemical Products</t>
  </si>
  <si>
    <t>28183</t>
  </si>
  <si>
    <t>Miscellaneous Cyclic Chemical Products</t>
  </si>
  <si>
    <t>28186</t>
  </si>
  <si>
    <t>Organic Acids or Salts</t>
  </si>
  <si>
    <t>28191</t>
  </si>
  <si>
    <t>Ammonia or Ammonium Compounds</t>
  </si>
  <si>
    <t>28194</t>
  </si>
  <si>
    <t>Industrial Inorganic Acids</t>
  </si>
  <si>
    <t>28199</t>
  </si>
  <si>
    <t>Industrial Inorganic Chemicals, Nec</t>
  </si>
  <si>
    <t>28211</t>
  </si>
  <si>
    <t>Plastic Materials or Synthetic Resins</t>
  </si>
  <si>
    <t>28712</t>
  </si>
  <si>
    <t>Superphosphate</t>
  </si>
  <si>
    <t>28714</t>
  </si>
  <si>
    <t>Miscellaneous Fertilizer Compounds</t>
  </si>
  <si>
    <t>28996</t>
  </si>
  <si>
    <t>Blacks</t>
  </si>
  <si>
    <t>29913</t>
  </si>
  <si>
    <t>Petroleum Coke</t>
  </si>
  <si>
    <t>32299</t>
  </si>
  <si>
    <t>Glass or Glassware, Blown Or, Pressed, Nec</t>
  </si>
  <si>
    <t>32411</t>
  </si>
  <si>
    <t>Hydraulic Cement, Natural, Portland or Masonry</t>
  </si>
  <si>
    <t>32741</t>
  </si>
  <si>
    <t>Lime or Lime Plaster</t>
  </si>
  <si>
    <t>32953</t>
  </si>
  <si>
    <t>Magnesite or Magnesia</t>
  </si>
  <si>
    <t>32954</t>
  </si>
  <si>
    <t>Pyrophillite, Steatite (Soapstone) or Talc</t>
  </si>
  <si>
    <t>32959</t>
  </si>
  <si>
    <t>Nonmetallic Minerals or Earths, Ground or Treated</t>
  </si>
  <si>
    <t>40112</t>
  </si>
  <si>
    <t>Ashes</t>
  </si>
  <si>
    <t>48755</t>
  </si>
  <si>
    <t>Waste Stream Other Regulated Materials Group E</t>
  </si>
  <si>
    <t>48756</t>
  </si>
  <si>
    <t>14219</t>
  </si>
  <si>
    <t>Broken or Crushed Stone or Riprap, Nec</t>
  </si>
  <si>
    <t>24115</t>
  </si>
  <si>
    <t>Pulpwood or Other Wood Chips</t>
  </si>
  <si>
    <t>33111</t>
  </si>
  <si>
    <t>Pig Iron</t>
  </si>
  <si>
    <t>33121</t>
  </si>
  <si>
    <t>Steel Ingot or Semi Finished Shapes</t>
  </si>
  <si>
    <t>33124</t>
  </si>
  <si>
    <t>Iron or Steel Bars, Bar Shapes or Rods</t>
  </si>
  <si>
    <t>33125</t>
  </si>
  <si>
    <t>Structural Shapes or Piling Products</t>
  </si>
  <si>
    <t>33126</t>
  </si>
  <si>
    <t>Iron or Steel Pipe, Tubes or Fittings</t>
  </si>
  <si>
    <t>33128</t>
  </si>
  <si>
    <t>Railway Track Material</t>
  </si>
  <si>
    <t>33999</t>
  </si>
  <si>
    <t>Primary Metal Products, Nec</t>
  </si>
  <si>
    <t>40211</t>
  </si>
  <si>
    <t>Iron or Steel Scrap, Wastes or Tailings</t>
  </si>
  <si>
    <t>40291</t>
  </si>
  <si>
    <t>Waste Or Scrap, Nec</t>
  </si>
  <si>
    <t>48601</t>
  </si>
  <si>
    <t>Waste Other Regulated Materials Group E</t>
  </si>
  <si>
    <t>19000</t>
  </si>
  <si>
    <t>24112</t>
  </si>
  <si>
    <t>Hewn Railroad or Mine Ties</t>
  </si>
  <si>
    <t>24114</t>
  </si>
  <si>
    <t>Pulpwood Logs</t>
  </si>
  <si>
    <t>24211</t>
  </si>
  <si>
    <t>Lumber, Rough or Dressed</t>
  </si>
  <si>
    <t>24299</t>
  </si>
  <si>
    <t>Sawmill or Planing Mill Products, Nec</t>
  </si>
  <si>
    <t>24391</t>
  </si>
  <si>
    <t>Prefabricated Structural Members or Wood Laminate</t>
  </si>
  <si>
    <t>24911</t>
  </si>
  <si>
    <t>Wood Piling, Posts, Props or Timbers, Etc.</t>
  </si>
  <si>
    <t>24912</t>
  </si>
  <si>
    <t>Ties, Mine, Railroad, Etc.</t>
  </si>
  <si>
    <t>24992</t>
  </si>
  <si>
    <t>Skids, Pallets or Platforms</t>
  </si>
  <si>
    <t>24997</t>
  </si>
  <si>
    <t>Fencing or Gates, Wood</t>
  </si>
  <si>
    <t>24999</t>
  </si>
  <si>
    <t>Wood Products, Nec</t>
  </si>
  <si>
    <t>30719</t>
  </si>
  <si>
    <t>Miscellaneous Fabricated Plastic Products, Nec</t>
  </si>
  <si>
    <t>33122</t>
  </si>
  <si>
    <t>Iron or Steel Plates</t>
  </si>
  <si>
    <t>33211</t>
  </si>
  <si>
    <t>Iron or Steel Cast Pipe or Fittings</t>
  </si>
  <si>
    <t>35112</t>
  </si>
  <si>
    <t>Steam Engines, Turbines, Turbine Generator Sets</t>
  </si>
  <si>
    <t>36129</t>
  </si>
  <si>
    <t>Power, Distribution Transformers</t>
  </si>
  <si>
    <t>37143</t>
  </si>
  <si>
    <t>Motor Vehicle Frames</t>
  </si>
  <si>
    <t>41117</t>
  </si>
  <si>
    <t>Military Impedimenta</t>
  </si>
  <si>
    <t>14412</t>
  </si>
  <si>
    <t>Gravel (Aggregate or Ballast)</t>
  </si>
  <si>
    <t>11212</t>
  </si>
  <si>
    <t>Prepared Bituminous Coal</t>
  </si>
  <si>
    <t>29914</t>
  </si>
  <si>
    <t>Coke Produced From Coal</t>
  </si>
  <si>
    <t>14411</t>
  </si>
  <si>
    <t>Sand (Aggregate or Ballast)</t>
  </si>
  <si>
    <t>01195</t>
  </si>
  <si>
    <t>Potatoes, Other Than Sweet</t>
  </si>
  <si>
    <t>20373</t>
  </si>
  <si>
    <t>Frozen Vegetables</t>
  </si>
  <si>
    <t>13111</t>
  </si>
  <si>
    <t>Crude Petroleum</t>
  </si>
  <si>
    <t>13211</t>
  </si>
  <si>
    <t>Natural Gasoline</t>
  </si>
  <si>
    <t>14716</t>
  </si>
  <si>
    <t>Sulphur, Crude, Liquid, Ground or Treated</t>
  </si>
  <si>
    <t>20131</t>
  </si>
  <si>
    <t>Lard</t>
  </si>
  <si>
    <t>20139</t>
  </si>
  <si>
    <t>Meat Products, Nec</t>
  </si>
  <si>
    <t>20143</t>
  </si>
  <si>
    <t>Grease or Inedible Tallow</t>
  </si>
  <si>
    <t>20461</t>
  </si>
  <si>
    <t>Corn Syrup</t>
  </si>
  <si>
    <t>20465</t>
  </si>
  <si>
    <t>Corn Oil</t>
  </si>
  <si>
    <t>20469</t>
  </si>
  <si>
    <t>Wet Process Corn Milling Products</t>
  </si>
  <si>
    <t>20616</t>
  </si>
  <si>
    <t>Sugar Molasses</t>
  </si>
  <si>
    <t>20617</t>
  </si>
  <si>
    <t>Blackstrap Molasses</t>
  </si>
  <si>
    <t>20625</t>
  </si>
  <si>
    <t>Sugar Refining By-products</t>
  </si>
  <si>
    <t>20851</t>
  </si>
  <si>
    <t>Distilled, Rectified or Blended Liquors</t>
  </si>
  <si>
    <t>20911</t>
  </si>
  <si>
    <t>Cottonseed Oil, Crude or Refined</t>
  </si>
  <si>
    <t>20921</t>
  </si>
  <si>
    <t>Soybean Oil, Crude or Refined</t>
  </si>
  <si>
    <t>20933</t>
  </si>
  <si>
    <t>Nut or Vegetable Oils</t>
  </si>
  <si>
    <t>20941</t>
  </si>
  <si>
    <t>Marine Oil Mill Products</t>
  </si>
  <si>
    <t>26112</t>
  </si>
  <si>
    <t>Pulp Mill By-products</t>
  </si>
  <si>
    <t>28121</t>
  </si>
  <si>
    <t>Inorganic Bleaching Compounds</t>
  </si>
  <si>
    <t>28122</t>
  </si>
  <si>
    <t>Sodium Alkalies</t>
  </si>
  <si>
    <t>28124</t>
  </si>
  <si>
    <t>Potassium Alkalies</t>
  </si>
  <si>
    <t>28128</t>
  </si>
  <si>
    <t>Chlorine</t>
  </si>
  <si>
    <t>28133</t>
  </si>
  <si>
    <t>Carbon Dioxide</t>
  </si>
  <si>
    <t>28134</t>
  </si>
  <si>
    <t>Elemental Gases</t>
  </si>
  <si>
    <t>28139</t>
  </si>
  <si>
    <t>Industrial Gases, Nec</t>
  </si>
  <si>
    <t>28141</t>
  </si>
  <si>
    <t>Crude Products From Coal Tar, Natural Gas or Petro</t>
  </si>
  <si>
    <t>28151</t>
  </si>
  <si>
    <t>Cyclic Intermediates or Other Cyclic Chemicals</t>
  </si>
  <si>
    <t>28152</t>
  </si>
  <si>
    <t>28161</t>
  </si>
  <si>
    <t>Titanium Pigments</t>
  </si>
  <si>
    <t>28182</t>
  </si>
  <si>
    <t>28184</t>
  </si>
  <si>
    <t>Alcohols</t>
  </si>
  <si>
    <t>28185</t>
  </si>
  <si>
    <t>Glycols or Glycerines</t>
  </si>
  <si>
    <t>28187</t>
  </si>
  <si>
    <t>Unknown STCC Value</t>
  </si>
  <si>
    <t>28189</t>
  </si>
  <si>
    <t>28192</t>
  </si>
  <si>
    <t>Nitric Acid</t>
  </si>
  <si>
    <t>28193</t>
  </si>
  <si>
    <t>Sulphuric Acid</t>
  </si>
  <si>
    <t>28195</t>
  </si>
  <si>
    <t>Cobalt, Copper, Iron, Nickel or Zinc Compounds</t>
  </si>
  <si>
    <t>28196</t>
  </si>
  <si>
    <t>Aluminum Compounds</t>
  </si>
  <si>
    <t>28198</t>
  </si>
  <si>
    <t>Anhydrous Ammonia</t>
  </si>
  <si>
    <t>28419</t>
  </si>
  <si>
    <t>Soap or Other Detergents</t>
  </si>
  <si>
    <t>28431</t>
  </si>
  <si>
    <t>Surface Active or Finishing Agents</t>
  </si>
  <si>
    <t>28512</t>
  </si>
  <si>
    <t>Paint Oils, Solvents or Thinners</t>
  </si>
  <si>
    <t>28612</t>
  </si>
  <si>
    <t>Gum or Wood Chemicals</t>
  </si>
  <si>
    <t>28713</t>
  </si>
  <si>
    <t>Ammoniating Fertilizer Solution</t>
  </si>
  <si>
    <t>28799</t>
  </si>
  <si>
    <t>Agricultural Chemicals, Nec</t>
  </si>
  <si>
    <t>28994</t>
  </si>
  <si>
    <t>Fatty Acids</t>
  </si>
  <si>
    <t>28997</t>
  </si>
  <si>
    <t>Chemicals Or Chemical Preparations</t>
  </si>
  <si>
    <t>28998</t>
  </si>
  <si>
    <t>Miscellaneous Chemical Compounds</t>
  </si>
  <si>
    <t>28999</t>
  </si>
  <si>
    <t>Chemical Products, Nec</t>
  </si>
  <si>
    <t>29111</t>
  </si>
  <si>
    <t>Gasoline or Jet or High Volatile Petroleum Fuels</t>
  </si>
  <si>
    <t>29113</t>
  </si>
  <si>
    <t>Distillate Fuel Oil</t>
  </si>
  <si>
    <t>29114</t>
  </si>
  <si>
    <t>Petroleum Lubricating or Similar Oils</t>
  </si>
  <si>
    <t>29116</t>
  </si>
  <si>
    <t>Asphalt Pitches or Tars From Petroleum</t>
  </si>
  <si>
    <t>29117</t>
  </si>
  <si>
    <t>Petroleum Residual Fuel Oils</t>
  </si>
  <si>
    <t>29119</t>
  </si>
  <si>
    <t>Petroleum Refining Products, Nec</t>
  </si>
  <si>
    <t>29121</t>
  </si>
  <si>
    <t>Liquefied Gases, Coal or Petroleum</t>
  </si>
  <si>
    <t>29912</t>
  </si>
  <si>
    <t>Lubricants or Similar Compounds</t>
  </si>
  <si>
    <t>40251</t>
  </si>
  <si>
    <t>Chemical or Petroleum Waste</t>
  </si>
  <si>
    <t>48105</t>
  </si>
  <si>
    <t>Waste Flammable Liquids, Misc</t>
  </si>
  <si>
    <t>37111</t>
  </si>
  <si>
    <t>Motor Passenger Cars, Assembled</t>
  </si>
  <si>
    <t>37112</t>
  </si>
  <si>
    <t>Motor Trucks or Truck Tractors, Assembled</t>
  </si>
  <si>
    <t>41118</t>
  </si>
  <si>
    <t>Used Vehicles</t>
  </si>
  <si>
    <t>STCC5 Stratification Report -Carload Business Only-(Enhanced with STCC2 and STCC7 Details)</t>
  </si>
  <si>
    <t>STCC5 Stratification Report Totaled-Intermodal Business Only- to STCC2 Level (Enhanced with STCC2 and STCC7 Details)</t>
  </si>
  <si>
    <t>20381</t>
  </si>
  <si>
    <t>Frozen Prepared Foods or Soups</t>
  </si>
  <si>
    <t>20999</t>
  </si>
  <si>
    <t>Food Preparations or By-products, Nec</t>
  </si>
  <si>
    <t>23999</t>
  </si>
  <si>
    <t>Fabricated Textile Products</t>
  </si>
  <si>
    <t>30119</t>
  </si>
  <si>
    <t>Rubber Tires or Related Products, Nec</t>
  </si>
  <si>
    <t>30711</t>
  </si>
  <si>
    <t>Plastic Dinnerware or Housewares</t>
  </si>
  <si>
    <t>42211</t>
  </si>
  <si>
    <t>Trailers Semi Trailers Orcontainers Return Empty</t>
  </si>
  <si>
    <t>44111</t>
  </si>
  <si>
    <t>46111</t>
  </si>
  <si>
    <t>All Freight Rate Shipments Nec Or Tofc Shipments</t>
  </si>
  <si>
    <t>47111</t>
  </si>
  <si>
    <t>Small Packaged Freight Shipments</t>
  </si>
  <si>
    <t>01134</t>
  </si>
  <si>
    <t>Rice, Rough</t>
  </si>
  <si>
    <t>01221</t>
  </si>
  <si>
    <t>Apples</t>
  </si>
  <si>
    <t>01295</t>
  </si>
  <si>
    <t>Coffee, Green</t>
  </si>
  <si>
    <t>01399</t>
  </si>
  <si>
    <t>Fresh Vegetables, Nec</t>
  </si>
  <si>
    <t>01421</t>
  </si>
  <si>
    <t>Dairy Farm Products Exc Pasteurized</t>
  </si>
  <si>
    <t>01919</t>
  </si>
  <si>
    <t>Horticultural Specialties, Nec</t>
  </si>
  <si>
    <t>09121</t>
  </si>
  <si>
    <t>Finfish</t>
  </si>
  <si>
    <t>09122</t>
  </si>
  <si>
    <t>Shellfish</t>
  </si>
  <si>
    <t>14916</t>
  </si>
  <si>
    <t>Natural Abrasives, Flour or Sized Grains, Industri</t>
  </si>
  <si>
    <t>20129</t>
  </si>
  <si>
    <t>Meat, Fresh Frozen, Nec</t>
  </si>
  <si>
    <t>20141</t>
  </si>
  <si>
    <t>Hides, Pelts or Skins, Not Tanned</t>
  </si>
  <si>
    <t>20259</t>
  </si>
  <si>
    <t>Special Dairy Products</t>
  </si>
  <si>
    <t>20321</t>
  </si>
  <si>
    <t>Canned Baby Foods</t>
  </si>
  <si>
    <t>20329</t>
  </si>
  <si>
    <t>Canned Specialties, Nec</t>
  </si>
  <si>
    <t>20331</t>
  </si>
  <si>
    <t>Canned Fruits</t>
  </si>
  <si>
    <t>20334</t>
  </si>
  <si>
    <t>Fruit Juices, Canned, Bottled or Bulk</t>
  </si>
  <si>
    <t>20341</t>
  </si>
  <si>
    <t>Dehydrated or Dried Fruits</t>
  </si>
  <si>
    <t>20352</t>
  </si>
  <si>
    <t>Pickles or Other Pickled Products</t>
  </si>
  <si>
    <t>20354</t>
  </si>
  <si>
    <t>Salad Dressings, Mayonnaise</t>
  </si>
  <si>
    <t>20359</t>
  </si>
  <si>
    <t>Sauces or Seasonings, Nec</t>
  </si>
  <si>
    <t>20391</t>
  </si>
  <si>
    <t>Mixed Loads Of Fruits, Seafood or Vegetables</t>
  </si>
  <si>
    <t>20431</t>
  </si>
  <si>
    <t>Cooked Cereals</t>
  </si>
  <si>
    <t>20442</t>
  </si>
  <si>
    <t>Rice Flour, Bran or Meal</t>
  </si>
  <si>
    <t>20466</t>
  </si>
  <si>
    <t>Starch</t>
  </si>
  <si>
    <t>20521</t>
  </si>
  <si>
    <t>Biscuits, Crackers or Pretzels</t>
  </si>
  <si>
    <t>20529</t>
  </si>
  <si>
    <t>Dry Bakery Products, Nec</t>
  </si>
  <si>
    <t>20711</t>
  </si>
  <si>
    <t>Candy or Candy Bars, Bulk or Packaged</t>
  </si>
  <si>
    <t>20712</t>
  </si>
  <si>
    <t>Nuts, Coated, Cooked, Roasted or Salted</t>
  </si>
  <si>
    <t>20713</t>
  </si>
  <si>
    <t>Chocolate or Cocoa Products</t>
  </si>
  <si>
    <t>20719</t>
  </si>
  <si>
    <t>Confectionery Products</t>
  </si>
  <si>
    <t>20861</t>
  </si>
  <si>
    <t>Soft Drinks or Carbonated Beverages</t>
  </si>
  <si>
    <t>20871</t>
  </si>
  <si>
    <t>Miscellaneous Flavoring Extracts, Syrups or Compou</t>
  </si>
  <si>
    <t>20961</t>
  </si>
  <si>
    <t>Shortening or Cooking or Salad Oils</t>
  </si>
  <si>
    <t>20981</t>
  </si>
  <si>
    <t>Macaroni, Spaghetti, Vermicelli or Noodles</t>
  </si>
  <si>
    <t>20992</t>
  </si>
  <si>
    <t>Chips (Potato, Corn, Etc.)</t>
  </si>
  <si>
    <t>20997</t>
  </si>
  <si>
    <t>Spices</t>
  </si>
  <si>
    <t>20998</t>
  </si>
  <si>
    <t>Tea or Instant Tea</t>
  </si>
  <si>
    <t>22211</t>
  </si>
  <si>
    <t>Man Made or Glass Fibre Broad-woven Fabrics</t>
  </si>
  <si>
    <t>22799</t>
  </si>
  <si>
    <t>Carpets, Mats or Rugs, Nec</t>
  </si>
  <si>
    <t>22931</t>
  </si>
  <si>
    <t>Paddings, Upholstery Fillings, Batting or Wadding</t>
  </si>
  <si>
    <t>22951</t>
  </si>
  <si>
    <t>Artificial Leather</t>
  </si>
  <si>
    <t>22999</t>
  </si>
  <si>
    <t>Textile Goods, Nec</t>
  </si>
  <si>
    <t>23111</t>
  </si>
  <si>
    <t>Mens, Youths or Boys Clothing or Uniforms</t>
  </si>
  <si>
    <t>23311</t>
  </si>
  <si>
    <t>Womens, Misses, Chi]ldrens or Infants Clothing</t>
  </si>
  <si>
    <t>23891</t>
  </si>
  <si>
    <t>Apparel,Nec</t>
  </si>
  <si>
    <t>24111</t>
  </si>
  <si>
    <t>Sawlogs</t>
  </si>
  <si>
    <t>24214</t>
  </si>
  <si>
    <t>Hardwood Dimension Stock or Furniture Parts</t>
  </si>
  <si>
    <t>24215</t>
  </si>
  <si>
    <t>Hardwood Flooring</t>
  </si>
  <si>
    <t>24219</t>
  </si>
  <si>
    <t>Lumber or Dimension Stock, Nec</t>
  </si>
  <si>
    <t>24291</t>
  </si>
  <si>
    <t>Shingles</t>
  </si>
  <si>
    <t>24314</t>
  </si>
  <si>
    <t>Doors or Shutters or Door Units, Wood</t>
  </si>
  <si>
    <t>24411</t>
  </si>
  <si>
    <t>Boxes, Cases, Crates or Carriers</t>
  </si>
  <si>
    <t>24415</t>
  </si>
  <si>
    <t>Cooperage</t>
  </si>
  <si>
    <t>25179</t>
  </si>
  <si>
    <t>Cabinets, Nec</t>
  </si>
  <si>
    <t>25199</t>
  </si>
  <si>
    <t>Household or Office Furniture</t>
  </si>
  <si>
    <t>25411</t>
  </si>
  <si>
    <t>Wood Lockers, Partitions or Shelving</t>
  </si>
  <si>
    <t>25421</t>
  </si>
  <si>
    <t>Metal Lockers, Partitions or Shelving</t>
  </si>
  <si>
    <t>25999</t>
  </si>
  <si>
    <t>Furniture or Fixtures, Nec</t>
  </si>
  <si>
    <t>26217</t>
  </si>
  <si>
    <t>Special Industrial Paper</t>
  </si>
  <si>
    <t>26218</t>
  </si>
  <si>
    <t>Sanitary Tissue Stock</t>
  </si>
  <si>
    <t>26219</t>
  </si>
  <si>
    <t>Paper, Nec</t>
  </si>
  <si>
    <t>26431</t>
  </si>
  <si>
    <t>Paper Bags</t>
  </si>
  <si>
    <t>26469</t>
  </si>
  <si>
    <t>Pressed or Molded Pulp Goods, Nec</t>
  </si>
  <si>
    <t>26471</t>
  </si>
  <si>
    <t>Sanitary Tissues or Health Products</t>
  </si>
  <si>
    <t>26499</t>
  </si>
  <si>
    <t>Converted Paper Products, Nec</t>
  </si>
  <si>
    <t>26511</t>
  </si>
  <si>
    <t>Containers or Boxes, Paperboard, Fibreboard</t>
  </si>
  <si>
    <t>26543</t>
  </si>
  <si>
    <t>Paper, Fibreboard, Paperboard or Pulpboard Cans</t>
  </si>
  <si>
    <t>26551</t>
  </si>
  <si>
    <t>Fmre Cans, Drums or Tubes or Similar Products</t>
  </si>
  <si>
    <t>26614</t>
  </si>
  <si>
    <t>Insulating Material</t>
  </si>
  <si>
    <t>27211</t>
  </si>
  <si>
    <t>Periodicals</t>
  </si>
  <si>
    <t>27311</t>
  </si>
  <si>
    <t>Books</t>
  </si>
  <si>
    <t>27411</t>
  </si>
  <si>
    <t>Catalogues, Directories, Business Service Publicat</t>
  </si>
  <si>
    <t>27419</t>
  </si>
  <si>
    <t>Printed Matter, Nec</t>
  </si>
  <si>
    <t>27812</t>
  </si>
  <si>
    <t>Loose Leaf Binders or Devices</t>
  </si>
  <si>
    <t>28311</t>
  </si>
  <si>
    <t>Drugs For Human Use</t>
  </si>
  <si>
    <t>28422</t>
  </si>
  <si>
    <t>Specialty Cleaning, Polishing or Sanitation Prepar</t>
  </si>
  <si>
    <t>28423</t>
  </si>
  <si>
    <t>Waxes or Polishing Preparations</t>
  </si>
  <si>
    <t>28441</t>
  </si>
  <si>
    <t>Cosmetics, Perfumes or Other Toilet Preparations</t>
  </si>
  <si>
    <t>28511</t>
  </si>
  <si>
    <t>Paints, Enamels, Lacquers, Shellacs or Varnishes</t>
  </si>
  <si>
    <t>28519</t>
  </si>
  <si>
    <t>28719</t>
  </si>
  <si>
    <t>Ferthizers, Nec</t>
  </si>
  <si>
    <t>28911</t>
  </si>
  <si>
    <t>Adhesives, Cements, Glues, Sizes, Calking</t>
  </si>
  <si>
    <t>28921</t>
  </si>
  <si>
    <t>Explosives</t>
  </si>
  <si>
    <t>28931</t>
  </si>
  <si>
    <t>Printing Ink</t>
  </si>
  <si>
    <t>28995</t>
  </si>
  <si>
    <t>Water Treating Compounds</t>
  </si>
  <si>
    <t>29529</t>
  </si>
  <si>
    <t>Asphalt Coatings or Felts, Nec</t>
  </si>
  <si>
    <t>30111</t>
  </si>
  <si>
    <t>Rubber Pneumatic Tires or Parts</t>
  </si>
  <si>
    <t>30613</t>
  </si>
  <si>
    <t>Sponge or Foam Rubber Goods</t>
  </si>
  <si>
    <t>30712</t>
  </si>
  <si>
    <t>Plastic Pipe, Tubing or Fittings</t>
  </si>
  <si>
    <t>30713</t>
  </si>
  <si>
    <t>Industrial (Molded) Plastic Products</t>
  </si>
  <si>
    <t>30714</t>
  </si>
  <si>
    <t>Unsupported Vinyl or Polyethylene Film</t>
  </si>
  <si>
    <t>30716</t>
  </si>
  <si>
    <t>Expanded or Foamed Plastics</t>
  </si>
  <si>
    <t>30718</t>
  </si>
  <si>
    <t>Plastic Packaging or Shipping Containers</t>
  </si>
  <si>
    <t>30729</t>
  </si>
  <si>
    <t>31411</t>
  </si>
  <si>
    <t>Footwear, Leather or Other Materials</t>
  </si>
  <si>
    <t>32113</t>
  </si>
  <si>
    <t>Laminated or Safety Glass</t>
  </si>
  <si>
    <t>32119</t>
  </si>
  <si>
    <t>Flat Glass, Nec</t>
  </si>
  <si>
    <t>32291</t>
  </si>
  <si>
    <t>Art, Kitchen, Novelty or Tile</t>
  </si>
  <si>
    <t>32292</t>
  </si>
  <si>
    <t>Lighting Glassware</t>
  </si>
  <si>
    <t>32295</t>
  </si>
  <si>
    <t>Glass Blocks, Brick, Skylights</t>
  </si>
  <si>
    <t>32531</t>
  </si>
  <si>
    <t>Ceramic, Enamel, Faience, Quarry Floor or Wall Til</t>
  </si>
  <si>
    <t>32611</t>
  </si>
  <si>
    <t>Vitreous China Plumbing Fixtures</t>
  </si>
  <si>
    <t>33155</t>
  </si>
  <si>
    <t>Steel Wire</t>
  </si>
  <si>
    <t>33567</t>
  </si>
  <si>
    <t>Solder, Babbitt, Or Type Metal Shapes</t>
  </si>
  <si>
    <t>34111</t>
  </si>
  <si>
    <t>Metal Cans</t>
  </si>
  <si>
    <t>34239</t>
  </si>
  <si>
    <t>Hand Tools, Nec</t>
  </si>
  <si>
    <t>34299</t>
  </si>
  <si>
    <t>Hardware, Nec</t>
  </si>
  <si>
    <t>34331</t>
  </si>
  <si>
    <t>Oil Burners, Residential or Industrial</t>
  </si>
  <si>
    <t>34421</t>
  </si>
  <si>
    <t>Metal Doors or Door Frames</t>
  </si>
  <si>
    <t>34441</t>
  </si>
  <si>
    <t>Sheet Metal Roofing, Ceiling Or Siding</t>
  </si>
  <si>
    <t>34449</t>
  </si>
  <si>
    <t>Sheet Metal Products, Nec</t>
  </si>
  <si>
    <t>34521</t>
  </si>
  <si>
    <t>Bolts, Nuts, Screws, or Other Industrial Fastener</t>
  </si>
  <si>
    <t>34529</t>
  </si>
  <si>
    <t>Industrial Fasteners, Nec</t>
  </si>
  <si>
    <t>34612</t>
  </si>
  <si>
    <t>Stamped or Spun Household Utensils</t>
  </si>
  <si>
    <t>34616</t>
  </si>
  <si>
    <t>Dispensers, Holders or Containers</t>
  </si>
  <si>
    <t>34812</t>
  </si>
  <si>
    <t>Wire Springs</t>
  </si>
  <si>
    <t>34912</t>
  </si>
  <si>
    <t>Steel Shipping Containers</t>
  </si>
  <si>
    <t>34919</t>
  </si>
  <si>
    <t>Metal Shipping Containers, Nec</t>
  </si>
  <si>
    <t>34997</t>
  </si>
  <si>
    <t>Metal Shipping Containers, Boxes or Racks</t>
  </si>
  <si>
    <t>35222</t>
  </si>
  <si>
    <t>Wheel Tractors, Parts or Attachments</t>
  </si>
  <si>
    <t>35241</t>
  </si>
  <si>
    <t>Garden Tractors, Lawn or Garden Equipment</t>
  </si>
  <si>
    <t>35371</t>
  </si>
  <si>
    <t>Industrial Trucks, Tractors, Trailers Stackers</t>
  </si>
  <si>
    <t>35373</t>
  </si>
  <si>
    <t>Industrial Pallets Platforms Or Skids Metal</t>
  </si>
  <si>
    <t>35522</t>
  </si>
  <si>
    <t>Textile Machinery, Attachments</t>
  </si>
  <si>
    <t>35531</t>
  </si>
  <si>
    <t>Woodworking Machinery</t>
  </si>
  <si>
    <t>35552</t>
  </si>
  <si>
    <t>Printing Trades Machinery or Equipment</t>
  </si>
  <si>
    <t>35641</t>
  </si>
  <si>
    <t>Industrial Fans or Blowers</t>
  </si>
  <si>
    <t>35642</t>
  </si>
  <si>
    <t>Dust Collection or Air Purification Equipment</t>
  </si>
  <si>
    <t>35741</t>
  </si>
  <si>
    <t>Accounting or Calculating Machines</t>
  </si>
  <si>
    <t>35853</t>
  </si>
  <si>
    <t>Commercial Refaigeration Equipment</t>
  </si>
  <si>
    <t>35857</t>
  </si>
  <si>
    <t>Air Conditioning, Cooling or Dehumidifying</t>
  </si>
  <si>
    <t>35891</t>
  </si>
  <si>
    <t>Commercial Cooking or Food Warming Equipment</t>
  </si>
  <si>
    <t>35999</t>
  </si>
  <si>
    <t>Machinery or Parts, Nec</t>
  </si>
  <si>
    <t>36311</t>
  </si>
  <si>
    <t>Household Ranges, Ovens</t>
  </si>
  <si>
    <t>36321</t>
  </si>
  <si>
    <t>Household Refrigerators or Freezers</t>
  </si>
  <si>
    <t>36331</t>
  </si>
  <si>
    <t>Household Washing Machines or Dryers</t>
  </si>
  <si>
    <t>36343</t>
  </si>
  <si>
    <t>Small Electric Cooking Appliances</t>
  </si>
  <si>
    <t>36392</t>
  </si>
  <si>
    <t>Water Heaters, All Types</t>
  </si>
  <si>
    <t>36399</t>
  </si>
  <si>
    <t>Household Appliances, Nec</t>
  </si>
  <si>
    <t>36421</t>
  </si>
  <si>
    <t>Electric Fixtures</t>
  </si>
  <si>
    <t>36512</t>
  </si>
  <si>
    <t>Household Television Receivers</t>
  </si>
  <si>
    <t>36911</t>
  </si>
  <si>
    <t>Storage Batteries or Plates</t>
  </si>
  <si>
    <t>36921</t>
  </si>
  <si>
    <t>Primary Batteries (Dry or Wet)</t>
  </si>
  <si>
    <t>37119</t>
  </si>
  <si>
    <t>Motor Vehicles, Nec</t>
  </si>
  <si>
    <t>37142</t>
  </si>
  <si>
    <t>Motor Vehicle</t>
  </si>
  <si>
    <t>37144</t>
  </si>
  <si>
    <t>Motor Car Internal Combustion Engines or Parts</t>
  </si>
  <si>
    <t>37145</t>
  </si>
  <si>
    <t>Motor Vehicle Brakes or Parts</t>
  </si>
  <si>
    <t>37147</t>
  </si>
  <si>
    <t>Motor Vehicle Body Parts</t>
  </si>
  <si>
    <t>37148</t>
  </si>
  <si>
    <t>Motor Vehicle Wheels or Parts</t>
  </si>
  <si>
    <t>37428</t>
  </si>
  <si>
    <t>Parts or Accessories For Railroad or Street Cars</t>
  </si>
  <si>
    <t>37511</t>
  </si>
  <si>
    <t>Motorbikes, Motorcycles, Motorscooters or Bodies</t>
  </si>
  <si>
    <t>37512</t>
  </si>
  <si>
    <t>Bicycles</t>
  </si>
  <si>
    <t>37999</t>
  </si>
  <si>
    <t>Transportation Equipment, Parts or Accessories, Ne</t>
  </si>
  <si>
    <t>38411</t>
  </si>
  <si>
    <t>Surgical or Medical Instruments or Apparatus</t>
  </si>
  <si>
    <t>38421</t>
  </si>
  <si>
    <t>Orthopedic, Prosthetic or Surgical Supplies</t>
  </si>
  <si>
    <t>39411</t>
  </si>
  <si>
    <t>Games or Toys</t>
  </si>
  <si>
    <t>39439</t>
  </si>
  <si>
    <t>Childrens Vehicles or Parts, Nec</t>
  </si>
  <si>
    <t>39497</t>
  </si>
  <si>
    <t>Playground or Equipment or Parts</t>
  </si>
  <si>
    <t>39499</t>
  </si>
  <si>
    <t>Sporting or Athletic Goods or Parts, Nec</t>
  </si>
  <si>
    <t>39522</t>
  </si>
  <si>
    <t>Artists Materials</t>
  </si>
  <si>
    <t>39531</t>
  </si>
  <si>
    <t>Marking Devices</t>
  </si>
  <si>
    <t>39991</t>
  </si>
  <si>
    <t>Chemical Fire Extinguishing Equipment or Parts</t>
  </si>
  <si>
    <t>39995</t>
  </si>
  <si>
    <t>Tobacco Pipes, Cigarette Accessories</t>
  </si>
  <si>
    <t>39998</t>
  </si>
  <si>
    <t>Miscellaneous Manufactured Products, Nec</t>
  </si>
  <si>
    <t>39999</t>
  </si>
  <si>
    <t>40212</t>
  </si>
  <si>
    <t>Brass, Bronze, Copper or Alloy Scrap</t>
  </si>
  <si>
    <t>40214</t>
  </si>
  <si>
    <t>Aluminum or Alloy Scrap, Wastes</t>
  </si>
  <si>
    <t>40219</t>
  </si>
  <si>
    <t>Nonferrous Metal or Alloy Scrap</t>
  </si>
  <si>
    <t>40261</t>
  </si>
  <si>
    <t>Rubber Or Plastic Scrap Or Waste</t>
  </si>
  <si>
    <t>41111</t>
  </si>
  <si>
    <t>Outfits Or Kits</t>
  </si>
  <si>
    <t>41112</t>
  </si>
  <si>
    <t>Used Plant Or Office Equipment Records Or Supplie</t>
  </si>
  <si>
    <t>41114</t>
  </si>
  <si>
    <t>Articles Used See 41115 Or 42111-12 Or 4021/4029</t>
  </si>
  <si>
    <t>41115</t>
  </si>
  <si>
    <t>Articles Used Returned For Repair Or Reconditioni</t>
  </si>
  <si>
    <t>41116</t>
  </si>
  <si>
    <t>Household Goods Or Emigrant Movables</t>
  </si>
  <si>
    <t>46211</t>
  </si>
  <si>
    <t>Mixed Shipments,2 Or Moremajor Groups</t>
  </si>
  <si>
    <t>STCC5 Stratification Report Totaled-Intermodal Business Only-(Enhanced with STCC2 and STCC7 Details)</t>
  </si>
  <si>
    <t>Car Type Percent of Total Cars  Originated</t>
  </si>
  <si>
    <t>Revenue Units Originated (to, from, thru US)</t>
  </si>
  <si>
    <t>Total Freight Cars Originated (to, from, thru US</t>
  </si>
  <si>
    <t>Loaded Freight Cars (to, from, thru US)</t>
  </si>
  <si>
    <t>Empty Freight Cars (to, from, thru US)</t>
  </si>
  <si>
    <t>Train Structure</t>
  </si>
  <si>
    <t>Percent Empty</t>
  </si>
  <si>
    <t>Percent Loaded</t>
  </si>
  <si>
    <t>Minimum Tare Weight of Car Type (Tons)</t>
  </si>
  <si>
    <t>Maximum Tare Weight of Car Type (Tons)</t>
  </si>
  <si>
    <t>Maximum Load Limit of Car Type (Tons)</t>
  </si>
  <si>
    <t>Median Load Limit of Car Type (Tons)</t>
  </si>
  <si>
    <t>Median Tare Weight of Car Type (Tons)</t>
  </si>
  <si>
    <t>Minimum Load Limit of Car Type (Tons)</t>
  </si>
  <si>
    <t>Minimum Length of Car Type (Ft.)</t>
  </si>
  <si>
    <t>Maximum Length of Car Type (Ft.)</t>
  </si>
  <si>
    <t>Median Length of Car Type (Ft.)</t>
  </si>
  <si>
    <t>Average Load Weight on Car Type (STCC5 - in Tons)</t>
  </si>
  <si>
    <t>Average-All Trains</t>
  </si>
  <si>
    <t>Average-Unit Trains</t>
  </si>
  <si>
    <t>Average-Way Trains</t>
  </si>
  <si>
    <t>Average Cars per Train</t>
  </si>
  <si>
    <t>Car Type                                                 A</t>
  </si>
  <si>
    <t>All</t>
  </si>
  <si>
    <t>Cars/Train</t>
  </si>
  <si>
    <t>Length</t>
  </si>
  <si>
    <t>Lading Weight</t>
  </si>
  <si>
    <t>Data For Definition of Train Structure</t>
  </si>
  <si>
    <t>Unit-Coal</t>
  </si>
  <si>
    <t>Motor Vehicles</t>
  </si>
  <si>
    <t>Military Equipment</t>
  </si>
  <si>
    <t>Average Through Trains</t>
  </si>
  <si>
    <t>Through Train</t>
  </si>
  <si>
    <t xml:space="preserve">Intermodal </t>
  </si>
  <si>
    <t>Intermodal</t>
  </si>
  <si>
    <t xml:space="preserve">Manifest/Way </t>
  </si>
  <si>
    <t>R-1, Sch 755 L.88/L.5, Computations for specific train type in FreightEquipData</t>
  </si>
  <si>
    <t>Freight Car or IHU Cost Per Train Hour</t>
  </si>
  <si>
    <t>Locomotives per Train-Unit Trains</t>
  </si>
  <si>
    <t>Locmotives per Train-Way Trains</t>
  </si>
  <si>
    <t>Locomotives per Train-Through Trains</t>
  </si>
  <si>
    <t>Average Locomotives per Train-All Trains</t>
  </si>
  <si>
    <t>Non- IM Car Miles</t>
  </si>
  <si>
    <t>Less Unit Train Car Miles</t>
  </si>
  <si>
    <t>Less Way Train Car Miles</t>
  </si>
  <si>
    <t>Manifest Car Miles</t>
  </si>
  <si>
    <t>IM Car Miles</t>
  </si>
  <si>
    <t>Total Revenue Car Miles</t>
  </si>
  <si>
    <t>Total Revenue Through Car Miles</t>
  </si>
  <si>
    <t>Work Trains</t>
  </si>
  <si>
    <t>Total Through Train Miles</t>
  </si>
  <si>
    <t>Total Train Miles</t>
  </si>
  <si>
    <t>SCTG2 Description</t>
  </si>
  <si>
    <t>Value per Ton</t>
  </si>
  <si>
    <t>x</t>
  </si>
  <si>
    <t>Weight and Value of Freight Shipments by Commodity: 2017</t>
  </si>
  <si>
    <t>Bureau of Transportation Statistics Data</t>
  </si>
  <si>
    <t>Computed Values</t>
  </si>
  <si>
    <t>Weight
(thousands of tons)</t>
  </si>
  <si>
    <t>Value
(millions of current dollars)</t>
  </si>
  <si>
    <t>01 – Live animals and fish</t>
  </si>
  <si>
    <t>02 – Cereal grains</t>
  </si>
  <si>
    <t>03 – Other agricultural products</t>
  </si>
  <si>
    <t>04 – Feed and products of animal origin</t>
  </si>
  <si>
    <t>05 – Meat and seafood</t>
  </si>
  <si>
    <t>06 – Milled grain products</t>
  </si>
  <si>
    <t>07 – Other prepared foodstuffs</t>
  </si>
  <si>
    <t>08 – Alcoholic beverages</t>
  </si>
  <si>
    <t>09 – Tobacco products</t>
  </si>
  <si>
    <t>10 – Building stone</t>
  </si>
  <si>
    <t>11 – Natural sands</t>
  </si>
  <si>
    <t>12 – Gravel and crushed stone</t>
  </si>
  <si>
    <t>13 – Other nonmetallic minerals</t>
  </si>
  <si>
    <t>14 – Metallic ores</t>
  </si>
  <si>
    <t>15 – Coal</t>
  </si>
  <si>
    <t>16 – Crude petroleum</t>
  </si>
  <si>
    <t>17 – Gasoline, kerosene, and ethanol</t>
  </si>
  <si>
    <t>18 – Diesel and other fuel oils</t>
  </si>
  <si>
    <t>19 – Other fossil fuel products</t>
  </si>
  <si>
    <t>20 – Basic chemicals</t>
  </si>
  <si>
    <t>21 – Pharmaceutical products</t>
  </si>
  <si>
    <t>22 – Fertilizers</t>
  </si>
  <si>
    <t>23 – Chemical products and preparations</t>
  </si>
  <si>
    <t>24 – Plastics and rubber</t>
  </si>
  <si>
    <t>25 – Logs and wood in the rough</t>
  </si>
  <si>
    <t>26 – Wood products</t>
  </si>
  <si>
    <t>27 – Pulp, paper, and paperboard</t>
  </si>
  <si>
    <t>28 – Paper or paperboard articles</t>
  </si>
  <si>
    <t>29 – Printed products</t>
  </si>
  <si>
    <t>30 – Textiles and leather</t>
  </si>
  <si>
    <t>31 – Nonmetallic mineral products</t>
  </si>
  <si>
    <t>32 – Metal in basic shapes</t>
  </si>
  <si>
    <t>33 – Articles of metal</t>
  </si>
  <si>
    <t>34 – Machinery</t>
  </si>
  <si>
    <t>35 – Electronics</t>
  </si>
  <si>
    <t>36 – Motorized and other vehicles</t>
  </si>
  <si>
    <t>37 – Other transportation equipment</t>
  </si>
  <si>
    <t>38 – Precision instruments</t>
  </si>
  <si>
    <t>39 – Furniture</t>
  </si>
  <si>
    <t>40 – Miscellaneous manufactured products</t>
  </si>
  <si>
    <t>41 – Waste and scrap</t>
  </si>
  <si>
    <t>43 – Mixed freight</t>
  </si>
  <si>
    <t>99 – Unknown</t>
  </si>
  <si>
    <t>Total (All Commodities)</t>
  </si>
  <si>
    <t>SOURCE:  U.S. Department of Transportation, Bureau of Transportation Statistics and Federal Highway Administration, Freight Analysis Framework, version 4.5, 2019.</t>
  </si>
  <si>
    <t>Value of Freight</t>
  </si>
  <si>
    <t>Value of Freight in Car Type</t>
  </si>
  <si>
    <t>CARLOAD</t>
  </si>
  <si>
    <t>INTERMODAL</t>
  </si>
  <si>
    <t>Cost to Owner of One Hour Delay per Loaded Railcar</t>
  </si>
  <si>
    <t>Value of Freight per Loaded Car Originated (to, from, thru US)</t>
  </si>
  <si>
    <t>Required Rate of Return (Interest Rate From  2019 Rail Cost of Capital)</t>
  </si>
  <si>
    <t>Estimated Maximum Time Held by Owner Before Sale (years)</t>
  </si>
  <si>
    <t>Residual Value(%)</t>
  </si>
  <si>
    <t>Loaded Cars</t>
  </si>
  <si>
    <t>Hourly Delay Cost</t>
  </si>
  <si>
    <t>Freight Handled-</t>
  </si>
  <si>
    <t>Average Cars per Train-Loaded</t>
  </si>
  <si>
    <t>Average Cars per Train-Empty</t>
  </si>
  <si>
    <t>Manifest</t>
  </si>
  <si>
    <t>Way</t>
  </si>
  <si>
    <t>Locomotives per Train by Train Type</t>
  </si>
  <si>
    <t>Supporting data in LocomotiveData Tab</t>
  </si>
  <si>
    <t>Train Type</t>
  </si>
  <si>
    <t>Capital</t>
  </si>
  <si>
    <t>Operating - Other Than Fuel</t>
  </si>
  <si>
    <t>Fuel - Idle or Train Delay Time</t>
  </si>
  <si>
    <t>Cost Category - Locomotives</t>
  </si>
  <si>
    <t>Cost Category - Freight Cars</t>
  </si>
  <si>
    <t>Operating</t>
  </si>
  <si>
    <t>Cost Category - Intermodal Equipment</t>
  </si>
  <si>
    <t>Cost Category - Crew</t>
  </si>
  <si>
    <t>Wages</t>
  </si>
  <si>
    <t>Cost Category - Value of Freight Handled</t>
  </si>
  <si>
    <t>Per Ton Hourly Cost</t>
  </si>
  <si>
    <t>Per Train Hourly Cost</t>
  </si>
  <si>
    <t>Grain</t>
  </si>
  <si>
    <t>Soda Ash</t>
  </si>
  <si>
    <t>Fertilizer</t>
  </si>
  <si>
    <t>Aggregates</t>
  </si>
  <si>
    <t>Ethanol</t>
  </si>
  <si>
    <t>Dried Distillers's Grain</t>
  </si>
  <si>
    <t>Specific Commodity Values (per Ton and Per Ton Per Delay Hour)</t>
  </si>
  <si>
    <t>Data: USDOT-BTS, FAF 4.5,2019 (See Table, This Tab)</t>
  </si>
  <si>
    <t xml:space="preserve">              Iron Ore, Ethanol, Dried Distiller's Grain, Crude Petroleum.</t>
  </si>
  <si>
    <t xml:space="preserve">Unit Trains assumed to include comdities:  Coal, Grain, Soda Ash, Fertilizer, Construction Aggregates &amp; Sand, </t>
  </si>
  <si>
    <t>Length (Cars)</t>
  </si>
  <si>
    <t>Length (Feet)</t>
  </si>
  <si>
    <t>Lading Weight (Tons)</t>
  </si>
  <si>
    <t>Average - All Trains, All Types, Delayed</t>
  </si>
  <si>
    <t>Average - All Trains, All Types, In Motion</t>
  </si>
  <si>
    <t>Intemodal Equipment</t>
  </si>
  <si>
    <t>Time Cost of Lading</t>
  </si>
  <si>
    <t>Per Loaded Freight Car Hourly Cost</t>
  </si>
  <si>
    <t>Train Characteristics</t>
  </si>
  <si>
    <t xml:space="preserve">Freight Cars </t>
  </si>
  <si>
    <t>Lading Tons per Loaded Freight Car</t>
  </si>
  <si>
    <t>Average - Unit Trains, Loaded, Delayed</t>
  </si>
  <si>
    <t>Average - Unit Trains, Loaded, In Motion</t>
  </si>
  <si>
    <t>Average - Unit Trains, Empty, Delayed</t>
  </si>
  <si>
    <t>Average - Unit Trains, Empty, In Motion</t>
  </si>
  <si>
    <t>Average - Through Trains, Delayed</t>
  </si>
  <si>
    <t>Average - Way Trains, Delayed</t>
  </si>
  <si>
    <t>Average - Way Trains, In Motion</t>
  </si>
  <si>
    <t>Average - Through Trains, In Motion</t>
  </si>
  <si>
    <t>NETWORK AVERAGE TRAINS</t>
  </si>
  <si>
    <t>Loaded Intermodal Cars</t>
  </si>
  <si>
    <t>Intermodal, Delayed</t>
  </si>
  <si>
    <t>Intermodal, In Mortion</t>
  </si>
  <si>
    <t>Automotive, Delayed</t>
  </si>
  <si>
    <t>Automotive, In Motion</t>
  </si>
  <si>
    <t>Manifest, Delayed</t>
  </si>
  <si>
    <t>Manifest, In Motion</t>
  </si>
  <si>
    <t>Unit, Coal, Loaded, Delayed</t>
  </si>
  <si>
    <t>Unit, Coal, Loaded, In Motion</t>
  </si>
  <si>
    <t>Unit, Coal, Empty, Delayed</t>
  </si>
  <si>
    <t>Unit, Coal, Empty, In Motion</t>
  </si>
  <si>
    <t>Unit, Grain, Loaded, Delayed</t>
  </si>
  <si>
    <t>Unit, Grain, Loaded, In Motion</t>
  </si>
  <si>
    <t>Unit, Grain, Empty, Delayed</t>
  </si>
  <si>
    <t>Unit, Grain, Empty, In Motion</t>
  </si>
  <si>
    <t>Unit, Soda Ash, Loaded, Delayed</t>
  </si>
  <si>
    <t>Unit, Soda Ash, Loaded, In Motion</t>
  </si>
  <si>
    <t>Unit, Soda Ash, Empty, Delayed</t>
  </si>
  <si>
    <t>Unit, Soda Ash, Empty, In Motion</t>
  </si>
  <si>
    <t>Unit, Fertilizer, Loaded, Delayed</t>
  </si>
  <si>
    <t>Unit, Fertilizer, Loaded, In Motion</t>
  </si>
  <si>
    <t>Unit, Fertilizer, Empty, Delayed</t>
  </si>
  <si>
    <t>Unit, Fertilizer, Empty, In Motion</t>
  </si>
  <si>
    <t>Unit, Metallic Ores, Loaded, Delayed</t>
  </si>
  <si>
    <t>Unit, Metallic Ores, Loaded, In Motion</t>
  </si>
  <si>
    <t>Unit, Metallic Ores, Empty, Delayed</t>
  </si>
  <si>
    <t>Unit, Metallic Ores, Empty, In Motion</t>
  </si>
  <si>
    <t>Unit, Ethanol, Loaded, Delayed</t>
  </si>
  <si>
    <t>Unit, Ethanol, Empty, Delayed</t>
  </si>
  <si>
    <t>Unit, Ethanol, Loaded, In Motion</t>
  </si>
  <si>
    <t>Unit, Ethanol, Empty, In Motion</t>
  </si>
  <si>
    <t>Unit, DDG, Loaded, Delayed</t>
  </si>
  <si>
    <t>Unit, DDG, Loaded, In Motion</t>
  </si>
  <si>
    <t>Unit, DDG, Empty, Delayed</t>
  </si>
  <si>
    <t>Unit, DDG, Empty, In Motion</t>
  </si>
  <si>
    <t>Unit, Crude Petroleum, Loaded, Delayed</t>
  </si>
  <si>
    <t>Unit, Crude Petroleum, Loaded, In Motion</t>
  </si>
  <si>
    <t>Unit, Crude Petroleum, Empty, Delayed</t>
  </si>
  <si>
    <t>Unit, Crude Petroleum, Empty, In Motion</t>
  </si>
  <si>
    <t>Unit, MSW, Loaded, Delayed</t>
  </si>
  <si>
    <t>Unit, MSW, Loaded, In Motion</t>
  </si>
  <si>
    <t>Unit, MSW, Empty, Delayed</t>
  </si>
  <si>
    <t>Unit, MSW, Empty, In Motion</t>
  </si>
  <si>
    <t>Unit, Military Equipment, Loaded, Delayed</t>
  </si>
  <si>
    <t>Unit, Military Equipment, Loaded, In Motion</t>
  </si>
  <si>
    <t>Unit, Military Equipment, Empty, Delayed</t>
  </si>
  <si>
    <t>Unit, Military Equipment, Empty, In Motion</t>
  </si>
  <si>
    <t>Unit-Grain</t>
  </si>
  <si>
    <t>Unit-Soda Ash</t>
  </si>
  <si>
    <t>Unit-Fertilizer</t>
  </si>
  <si>
    <t>Unit-Metallic Ores</t>
  </si>
  <si>
    <t>Unit-Ethanol</t>
  </si>
  <si>
    <t>Unit-Aggregates</t>
  </si>
  <si>
    <t>Unit-DDG</t>
  </si>
  <si>
    <t>Unit-Crude Petroleum</t>
  </si>
  <si>
    <t>MSW</t>
  </si>
  <si>
    <t>Average-Unit</t>
  </si>
  <si>
    <t>Single Purpose Unit Trains</t>
  </si>
  <si>
    <t>DDG</t>
  </si>
  <si>
    <t>Military Equip.</t>
  </si>
  <si>
    <t>Unit, Aggregates, Loaded, Delayed</t>
  </si>
  <si>
    <t>Unit, Aggregates, Loaded, In Motion</t>
  </si>
  <si>
    <t>Unit, Aggregates, Empty, Delayed</t>
  </si>
  <si>
    <t>Unit, Aggregates, Empty, In Motion</t>
  </si>
  <si>
    <t>SPECIFIC PURPOSE TRAINS</t>
  </si>
  <si>
    <t>Total Less Time Cost of Lading</t>
  </si>
  <si>
    <t>Summary of Characteristics and Hourly Cost of Train Types</t>
  </si>
  <si>
    <t>2019 Data</t>
  </si>
  <si>
    <t>Detail of Aggregated Cost Catagories</t>
  </si>
  <si>
    <t>Data Sources: Surface Trainsportation Reports R-1, 2019 Stratification Reports: Association of American Railroads Weekly Traffic Reports; Railinc UMLER Freight Car Descriptive Records;</t>
  </si>
  <si>
    <t>USDOT-Bureau of Transportation Statistics -Weight and Value of Freight Shipments by Commodity.</t>
  </si>
  <si>
    <t>Summary - All Costs</t>
  </si>
  <si>
    <t>Fuel - Train in Motion</t>
  </si>
  <si>
    <t>Locomotives per Train</t>
  </si>
  <si>
    <t>Unit Train</t>
  </si>
  <si>
    <t>Hourly Cost/Ton</t>
  </si>
  <si>
    <t>Hourly Cost/Car</t>
  </si>
  <si>
    <t>Tons/Car</t>
  </si>
  <si>
    <t>OPERATING DATA</t>
  </si>
  <si>
    <t>UNIT TRAIN MOVES</t>
  </si>
  <si>
    <t>Non-Unit Train Moves</t>
  </si>
  <si>
    <t>Fuel Cost per Gallon</t>
  </si>
  <si>
    <t>Gallons Consumed in Freight Service</t>
  </si>
  <si>
    <t>Cost of Fuel Consumed in Freight Service</t>
  </si>
  <si>
    <t>Maximum Fuel Use During Idle Hours-Gallons)</t>
  </si>
  <si>
    <t>Gross Ton Miles</t>
  </si>
  <si>
    <t>Train</t>
  </si>
  <si>
    <t>Unit</t>
  </si>
  <si>
    <t>Car</t>
  </si>
  <si>
    <t>Gross</t>
  </si>
  <si>
    <t>Ton Miles</t>
  </si>
  <si>
    <t>Switching</t>
  </si>
  <si>
    <t>Miles</t>
  </si>
  <si>
    <t>Train Cars</t>
  </si>
  <si>
    <t>of Freight</t>
  </si>
  <si>
    <t>Hours</t>
  </si>
  <si>
    <t>Through</t>
  </si>
  <si>
    <t>Empty</t>
  </si>
  <si>
    <t>Handled</t>
  </si>
  <si>
    <t xml:space="preserve">Empty Cars = </t>
  </si>
  <si>
    <t>per</t>
  </si>
  <si>
    <t>Trains</t>
  </si>
  <si>
    <t>Operated</t>
  </si>
  <si>
    <t>Car Miles</t>
  </si>
  <si>
    <t>per Car</t>
  </si>
  <si>
    <t>Equivalent</t>
  </si>
  <si>
    <t>Daily Trains Operated</t>
  </si>
  <si>
    <t>Weight of</t>
  </si>
  <si>
    <t>Plus</t>
  </si>
  <si>
    <t>Lading</t>
  </si>
  <si>
    <t>Weight per</t>
  </si>
  <si>
    <t>Train Hour</t>
  </si>
  <si>
    <t>Plus Lading</t>
  </si>
  <si>
    <t>Plus Freight Car</t>
  </si>
  <si>
    <t>Transportation</t>
  </si>
  <si>
    <t>O.T. Road Switching</t>
  </si>
  <si>
    <t>Train Hours</t>
  </si>
  <si>
    <t>per Train</t>
  </si>
  <si>
    <t>Velocity</t>
  </si>
  <si>
    <t>Velocity (mph)</t>
  </si>
  <si>
    <t>W/O Train</t>
  </si>
  <si>
    <t>(mph)</t>
  </si>
  <si>
    <t>Average Manifest, Intermodal and Vehicle Trains (Subset of Through Trains)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</si>
</sst>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* #,##0_);_(* \(#,##0\);_(* &quot;-&quot;??_);_(@_)"/>
    <numFmt numFmtId="166" formatCode="&quot;$&quot;#,##0.00"/>
    <numFmt numFmtId="167" formatCode="&quot;$&quot;#,##0"/>
    <numFmt numFmtId="168" formatCode="&quot;$&quot;#,##0.000"/>
    <numFmt numFmtId="169" formatCode="&quot;$&quot;#,##0.0000"/>
    <numFmt numFmtId="170" formatCode="_(* #,##0.0_);_(* \(#,##0.0\);_(* &quot;-&quot;??_);_(@_)"/>
    <numFmt numFmtId="171" formatCode="_(&quot;$&quot;* #,##0_);_(&quot;$&quot;* \(#,##0\);_(&quot;$&quot;* &quot;-&quot;??_);_(@_)"/>
    <numFmt numFmtId="172" formatCode="0.0"/>
    <numFmt numFmtId="173" formatCode="0.0000"/>
    <numFmt numFmtId="174" formatCode="#,##0.0000"/>
    <numFmt numFmtId="175" formatCode="General_)"/>
    <numFmt numFmtId="176" formatCode="0.000%"/>
    <numFmt numFmtId="177" formatCode="0.000"/>
    <numFmt numFmtId="178" formatCode="_(* #,##0_);_(* \(#,##0\);_(* &quot;-&quot;????_);_(@_)"/>
    <numFmt numFmtId="179" formatCode="0.0000%"/>
    <numFmt numFmtId="180" formatCode="_(* #,##0.000_);_(* \(#,##0.000\);_(* &quot;-&quot;??_);_(@_)"/>
    <numFmt numFmtId="181" formatCode="_(&quot;$&quot;* #,##0.0000_);_(&quot;$&quot;* \(#,##0.0000\);_(&quot;$&quot;* &quot;-&quot;??_);_(@_)"/>
  </numFmts>
  <fonts count="71"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name val="Arial"/>
      <family val="2"/>
    </font>
    <font>
      <sz val="12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i/>
      <sz val="14"/>
      <color theme="1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 (Body)"/>
    </font>
    <font>
      <b/>
      <sz val="10"/>
      <color rgb="FF0000FF"/>
      <name val="Calibri (Body)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 (Body)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MS Sans Serif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1"/>
      <color indexed="8"/>
      <name val="Calibri"/>
      <family val="2"/>
    </font>
    <font>
      <b/>
      <i/>
      <sz val="10"/>
      <color theme="1"/>
      <name val="Calibri (Body)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0"/>
      </patternFill>
    </fill>
    <fill>
      <patternFill patternType="solid">
        <fgColor rgb="FF0000FF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7" fillId="0" borderId="0" applyNumberFormat="0" applyFill="0" applyBorder="0" applyAlignment="0" applyProtection="0"/>
    <xf numFmtId="0" fontId="7" fillId="0" borderId="0"/>
    <xf numFmtId="0" fontId="1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070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9" xfId="0" applyBorder="1"/>
    <xf numFmtId="0" fontId="6" fillId="0" borderId="0" xfId="0" applyFont="1" applyAlignment="1"/>
    <xf numFmtId="0" fontId="10" fillId="0" borderId="1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10" xfId="0" applyFont="1" applyBorder="1"/>
    <xf numFmtId="0" fontId="13" fillId="0" borderId="5" xfId="0" applyFont="1" applyBorder="1"/>
    <xf numFmtId="0" fontId="14" fillId="0" borderId="7" xfId="0" applyFont="1" applyBorder="1" applyAlignment="1">
      <alignment horizontal="right"/>
    </xf>
    <xf numFmtId="0" fontId="13" fillId="0" borderId="13" xfId="0" applyFont="1" applyBorder="1"/>
    <xf numFmtId="0" fontId="0" fillId="0" borderId="0" xfId="0" applyBorder="1"/>
    <xf numFmtId="0" fontId="12" fillId="0" borderId="0" xfId="0" applyFont="1" applyBorder="1"/>
    <xf numFmtId="0" fontId="12" fillId="0" borderId="2" xfId="0" applyFont="1" applyBorder="1"/>
    <xf numFmtId="0" fontId="16" fillId="0" borderId="4" xfId="0" applyFont="1" applyBorder="1"/>
    <xf numFmtId="0" fontId="16" fillId="0" borderId="6" xfId="0" applyFont="1" applyBorder="1"/>
    <xf numFmtId="0" fontId="13" fillId="0" borderId="0" xfId="0" applyFont="1" applyBorder="1"/>
    <xf numFmtId="0" fontId="13" fillId="0" borderId="7" xfId="0" applyFont="1" applyBorder="1"/>
    <xf numFmtId="0" fontId="17" fillId="0" borderId="6" xfId="0" applyFont="1" applyBorder="1"/>
    <xf numFmtId="0" fontId="17" fillId="0" borderId="8" xfId="0" applyFont="1" applyBorder="1"/>
    <xf numFmtId="0" fontId="13" fillId="0" borderId="9" xfId="0" applyFont="1" applyBorder="1"/>
    <xf numFmtId="164" fontId="13" fillId="0" borderId="0" xfId="0" applyNumberFormat="1" applyFont="1"/>
    <xf numFmtId="0" fontId="13" fillId="0" borderId="8" xfId="0" applyFont="1" applyBorder="1"/>
    <xf numFmtId="0" fontId="13" fillId="0" borderId="0" xfId="0" applyFont="1" applyBorder="1" applyAlignment="1">
      <alignment horizontal="center"/>
    </xf>
    <xf numFmtId="3" fontId="0" fillId="0" borderId="0" xfId="0" applyNumberFormat="1"/>
    <xf numFmtId="3" fontId="8" fillId="0" borderId="0" xfId="0" applyNumberFormat="1" applyFont="1"/>
    <xf numFmtId="4" fontId="8" fillId="0" borderId="0" xfId="0" applyNumberFormat="1" applyFont="1"/>
    <xf numFmtId="0" fontId="21" fillId="0" borderId="0" xfId="0" applyFont="1"/>
    <xf numFmtId="3" fontId="0" fillId="0" borderId="1" xfId="0" applyNumberFormat="1" applyBorder="1"/>
    <xf numFmtId="4" fontId="8" fillId="0" borderId="1" xfId="0" applyNumberFormat="1" applyFont="1" applyBorder="1"/>
    <xf numFmtId="0" fontId="0" fillId="0" borderId="0" xfId="0" applyFill="1" applyBorder="1"/>
    <xf numFmtId="3" fontId="13" fillId="0" borderId="0" xfId="0" applyNumberFormat="1" applyFont="1" applyFill="1" applyAlignment="1">
      <alignment horizontal="right"/>
    </xf>
    <xf numFmtId="0" fontId="13" fillId="0" borderId="6" xfId="0" applyFont="1" applyBorder="1"/>
    <xf numFmtId="164" fontId="0" fillId="0" borderId="0" xfId="0" applyNumberFormat="1" applyBorder="1"/>
    <xf numFmtId="0" fontId="3" fillId="0" borderId="0" xfId="0" applyFont="1" applyBorder="1"/>
    <xf numFmtId="0" fontId="22" fillId="0" borderId="0" xfId="0" applyFont="1"/>
    <xf numFmtId="165" fontId="12" fillId="0" borderId="0" xfId="1" applyNumberFormat="1" applyFont="1"/>
    <xf numFmtId="164" fontId="12" fillId="0" borderId="0" xfId="0" applyNumberFormat="1" applyFont="1"/>
    <xf numFmtId="0" fontId="6" fillId="0" borderId="0" xfId="0" applyFont="1" applyBorder="1" applyAlignment="1"/>
    <xf numFmtId="0" fontId="13" fillId="0" borderId="17" xfId="0" applyFont="1" applyBorder="1"/>
    <xf numFmtId="0" fontId="12" fillId="0" borderId="17" xfId="0" applyFont="1" applyBorder="1"/>
    <xf numFmtId="0" fontId="0" fillId="0" borderId="0" xfId="0" applyFont="1" applyBorder="1"/>
    <xf numFmtId="0" fontId="13" fillId="0" borderId="34" xfId="0" applyFont="1" applyBorder="1"/>
    <xf numFmtId="0" fontId="9" fillId="0" borderId="6" xfId="0" applyFont="1" applyBorder="1"/>
    <xf numFmtId="0" fontId="9" fillId="0" borderId="8" xfId="0" applyFont="1" applyBorder="1"/>
    <xf numFmtId="0" fontId="17" fillId="0" borderId="42" xfId="0" applyFont="1" applyBorder="1"/>
    <xf numFmtId="0" fontId="13" fillId="0" borderId="43" xfId="0" applyFont="1" applyBorder="1"/>
    <xf numFmtId="0" fontId="17" fillId="0" borderId="14" xfId="0" applyFont="1" applyBorder="1"/>
    <xf numFmtId="0" fontId="13" fillId="0" borderId="45" xfId="0" applyFont="1" applyBorder="1"/>
    <xf numFmtId="0" fontId="0" fillId="0" borderId="6" xfId="0" applyBorder="1"/>
    <xf numFmtId="0" fontId="13" fillId="0" borderId="14" xfId="0" applyFont="1" applyBorder="1"/>
    <xf numFmtId="0" fontId="13" fillId="0" borderId="2" xfId="0" applyFont="1" applyBorder="1"/>
    <xf numFmtId="0" fontId="16" fillId="0" borderId="30" xfId="0" applyFont="1" applyBorder="1"/>
    <xf numFmtId="0" fontId="13" fillId="0" borderId="33" xfId="0" applyFont="1" applyBorder="1"/>
    <xf numFmtId="0" fontId="11" fillId="0" borderId="30" xfId="0" applyFont="1" applyBorder="1"/>
    <xf numFmtId="0" fontId="13" fillId="0" borderId="7" xfId="1" applyNumberFormat="1" applyFont="1" applyFill="1" applyBorder="1" applyAlignment="1">
      <alignment horizontal="right"/>
    </xf>
    <xf numFmtId="0" fontId="18" fillId="0" borderId="30" xfId="0" applyFont="1" applyBorder="1"/>
    <xf numFmtId="0" fontId="16" fillId="0" borderId="14" xfId="0" applyFont="1" applyBorder="1"/>
    <xf numFmtId="0" fontId="0" fillId="0" borderId="17" xfId="0" applyBorder="1"/>
    <xf numFmtId="0" fontId="0" fillId="0" borderId="45" xfId="0" applyBorder="1"/>
    <xf numFmtId="0" fontId="0" fillId="0" borderId="47" xfId="0" applyBorder="1"/>
    <xf numFmtId="0" fontId="0" fillId="0" borderId="48" xfId="0" applyBorder="1"/>
    <xf numFmtId="166" fontId="20" fillId="6" borderId="7" xfId="15" applyNumberFormat="1" applyFont="1" applyFill="1" applyBorder="1"/>
    <xf numFmtId="0" fontId="10" fillId="0" borderId="30" xfId="0" applyFont="1" applyBorder="1"/>
    <xf numFmtId="0" fontId="0" fillId="0" borderId="33" xfId="0" applyBorder="1"/>
    <xf numFmtId="0" fontId="0" fillId="0" borderId="34" xfId="0" applyBorder="1"/>
    <xf numFmtId="0" fontId="9" fillId="0" borderId="18" xfId="0" applyFont="1" applyBorder="1" applyAlignment="1">
      <alignment horizontal="center"/>
    </xf>
    <xf numFmtId="0" fontId="18" fillId="0" borderId="22" xfId="0" applyFont="1" applyBorder="1" applyAlignment="1">
      <alignment vertical="center"/>
    </xf>
    <xf numFmtId="0" fontId="16" fillId="0" borderId="19" xfId="0" applyFont="1" applyBorder="1" applyAlignment="1">
      <alignment horizontal="right" vertical="center"/>
    </xf>
    <xf numFmtId="0" fontId="16" fillId="0" borderId="23" xfId="0" applyFont="1" applyBorder="1" applyAlignment="1">
      <alignment horizontal="right" vertical="center"/>
    </xf>
    <xf numFmtId="0" fontId="28" fillId="0" borderId="6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2" fontId="27" fillId="5" borderId="20" xfId="0" applyNumberFormat="1" applyFont="1" applyFill="1" applyBorder="1" applyAlignment="1">
      <alignment horizontal="right" vertical="center"/>
    </xf>
    <xf numFmtId="43" fontId="27" fillId="5" borderId="7" xfId="1" applyFont="1" applyFill="1" applyBorder="1" applyAlignment="1">
      <alignment horizontal="right" vertical="center"/>
    </xf>
    <xf numFmtId="166" fontId="27" fillId="2" borderId="21" xfId="15" applyNumberFormat="1" applyFont="1" applyFill="1" applyBorder="1" applyAlignment="1">
      <alignment horizontal="right" vertical="center"/>
    </xf>
    <xf numFmtId="166" fontId="27" fillId="2" borderId="9" xfId="1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9" fillId="0" borderId="50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6" fillId="0" borderId="30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4" fillId="0" borderId="4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167" fontId="13" fillId="3" borderId="24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167" fontId="13" fillId="3" borderId="25" xfId="0" applyNumberFormat="1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167" fontId="13" fillId="3" borderId="26" xfId="0" applyNumberFormat="1" applyFont="1" applyFill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18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9" fillId="0" borderId="43" xfId="1" applyNumberFormat="1" applyFont="1" applyFill="1" applyBorder="1" applyAlignment="1">
      <alignment horizontal="right" vertical="center"/>
    </xf>
    <xf numFmtId="0" fontId="19" fillId="0" borderId="7" xfId="0" applyNumberFormat="1" applyFont="1" applyFill="1" applyBorder="1" applyAlignment="1">
      <alignment vertical="center"/>
    </xf>
    <xf numFmtId="0" fontId="19" fillId="0" borderId="7" xfId="0" applyNumberFormat="1" applyFont="1" applyFill="1" applyBorder="1" applyAlignment="1">
      <alignment horizontal="right" vertical="center"/>
    </xf>
    <xf numFmtId="0" fontId="13" fillId="0" borderId="17" xfId="0" applyFont="1" applyBorder="1" applyAlignment="1">
      <alignment vertical="center"/>
    </xf>
    <xf numFmtId="0" fontId="19" fillId="0" borderId="45" xfId="0" applyNumberFormat="1" applyFont="1" applyFill="1" applyBorder="1" applyAlignment="1">
      <alignment horizontal="right" vertical="center"/>
    </xf>
    <xf numFmtId="0" fontId="22" fillId="0" borderId="4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10" fontId="13" fillId="3" borderId="24" xfId="2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3" fillId="3" borderId="25" xfId="0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166" fontId="13" fillId="3" borderId="25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167" fontId="13" fillId="3" borderId="25" xfId="0" applyNumberFormat="1" applyFont="1" applyFill="1" applyBorder="1" applyAlignment="1">
      <alignment horizontal="right" vertical="center"/>
    </xf>
    <xf numFmtId="0" fontId="12" fillId="0" borderId="17" xfId="0" applyFont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3" fillId="0" borderId="0" xfId="0" applyFont="1" applyBorder="1" applyAlignment="1"/>
    <xf numFmtId="0" fontId="13" fillId="0" borderId="7" xfId="0" applyFont="1" applyBorder="1" applyAlignment="1"/>
    <xf numFmtId="0" fontId="13" fillId="0" borderId="2" xfId="0" applyFont="1" applyBorder="1" applyAlignment="1"/>
    <xf numFmtId="0" fontId="13" fillId="0" borderId="9" xfId="0" applyFont="1" applyBorder="1" applyAlignment="1"/>
    <xf numFmtId="0" fontId="11" fillId="0" borderId="6" xfId="0" applyFont="1" applyBorder="1"/>
    <xf numFmtId="0" fontId="13" fillId="0" borderId="47" xfId="0" applyFont="1" applyBorder="1"/>
    <xf numFmtId="0" fontId="13" fillId="0" borderId="48" xfId="0" applyFont="1" applyBorder="1"/>
    <xf numFmtId="0" fontId="26" fillId="0" borderId="30" xfId="0" applyFont="1" applyBorder="1"/>
    <xf numFmtId="0" fontId="0" fillId="0" borderId="14" xfId="0" applyBorder="1"/>
    <xf numFmtId="167" fontId="13" fillId="4" borderId="24" xfId="0" applyNumberFormat="1" applyFont="1" applyFill="1" applyBorder="1"/>
    <xf numFmtId="3" fontId="13" fillId="4" borderId="25" xfId="0" applyNumberFormat="1" applyFont="1" applyFill="1" applyBorder="1" applyAlignment="1">
      <alignment horizontal="right"/>
    </xf>
    <xf numFmtId="166" fontId="20" fillId="2" borderId="46" xfId="15" applyNumberFormat="1" applyFont="1" applyFill="1" applyBorder="1" applyAlignment="1">
      <alignment horizontal="right"/>
    </xf>
    <xf numFmtId="0" fontId="13" fillId="0" borderId="7" xfId="0" applyFont="1" applyFill="1" applyBorder="1" applyAlignment="1">
      <alignment horizontal="left"/>
    </xf>
    <xf numFmtId="166" fontId="20" fillId="2" borderId="46" xfId="0" applyNumberFormat="1" applyFont="1" applyFill="1" applyBorder="1"/>
    <xf numFmtId="0" fontId="13" fillId="0" borderId="4" xfId="0" applyFont="1" applyBorder="1"/>
    <xf numFmtId="0" fontId="14" fillId="0" borderId="26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2" fontId="20" fillId="6" borderId="25" xfId="0" applyNumberFormat="1" applyFont="1" applyFill="1" applyBorder="1" applyAlignment="1">
      <alignment horizontal="right"/>
    </xf>
    <xf numFmtId="0" fontId="0" fillId="0" borderId="8" xfId="0" applyBorder="1"/>
    <xf numFmtId="0" fontId="0" fillId="0" borderId="28" xfId="0" applyBorder="1"/>
    <xf numFmtId="0" fontId="0" fillId="0" borderId="24" xfId="0" applyBorder="1"/>
    <xf numFmtId="0" fontId="0" fillId="0" borderId="26" xfId="0" applyBorder="1"/>
    <xf numFmtId="165" fontId="23" fillId="3" borderId="25" xfId="1" applyNumberFormat="1" applyFont="1" applyFill="1" applyBorder="1" applyAlignment="1">
      <alignment horizontal="left" wrapText="1"/>
    </xf>
    <xf numFmtId="165" fontId="0" fillId="3" borderId="26" xfId="1" applyNumberFormat="1" applyFont="1" applyFill="1" applyBorder="1" applyAlignment="1">
      <alignment horizontal="left"/>
    </xf>
    <xf numFmtId="0" fontId="0" fillId="0" borderId="45" xfId="0" applyBorder="1" applyAlignment="1">
      <alignment horizontal="center"/>
    </xf>
    <xf numFmtId="0" fontId="23" fillId="3" borderId="7" xfId="27" applyFont="1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167" fontId="13" fillId="4" borderId="26" xfId="0" applyNumberFormat="1" applyFont="1" applyFill="1" applyBorder="1" applyAlignment="1">
      <alignment horizontal="right"/>
    </xf>
    <xf numFmtId="171" fontId="13" fillId="4" borderId="26" xfId="15" applyNumberFormat="1" applyFont="1" applyFill="1" applyBorder="1"/>
    <xf numFmtId="0" fontId="12" fillId="0" borderId="28" xfId="0" applyFont="1" applyBorder="1"/>
    <xf numFmtId="167" fontId="13" fillId="4" borderId="18" xfId="0" applyNumberFormat="1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3" fillId="0" borderId="47" xfId="0" applyFont="1" applyBorder="1"/>
    <xf numFmtId="166" fontId="20" fillId="5" borderId="8" xfId="0" applyNumberFormat="1" applyFont="1" applyFill="1" applyBorder="1" applyAlignment="1">
      <alignment vertical="center"/>
    </xf>
    <xf numFmtId="167" fontId="20" fillId="6" borderId="18" xfId="0" applyNumberFormat="1" applyFont="1" applyFill="1" applyBorder="1" applyAlignment="1">
      <alignment horizontal="right"/>
    </xf>
    <xf numFmtId="173" fontId="20" fillId="6" borderId="46" xfId="0" applyNumberFormat="1" applyFont="1" applyFill="1" applyBorder="1"/>
    <xf numFmtId="3" fontId="20" fillId="6" borderId="25" xfId="0" applyNumberFormat="1" applyFont="1" applyFill="1" applyBorder="1" applyAlignment="1">
      <alignment horizontal="right"/>
    </xf>
    <xf numFmtId="166" fontId="20" fillId="6" borderId="25" xfId="15" applyNumberFormat="1" applyFont="1" applyFill="1" applyBorder="1" applyAlignment="1">
      <alignment horizontal="right"/>
    </xf>
    <xf numFmtId="174" fontId="20" fillId="6" borderId="26" xfId="0" applyNumberFormat="1" applyFont="1" applyFill="1" applyBorder="1" applyAlignment="1">
      <alignment horizontal="right"/>
    </xf>
    <xf numFmtId="165" fontId="21" fillId="6" borderId="18" xfId="1" applyNumberFormat="1" applyFont="1" applyFill="1" applyBorder="1" applyAlignment="1">
      <alignment horizontal="left"/>
    </xf>
    <xf numFmtId="2" fontId="21" fillId="6" borderId="48" xfId="0" applyNumberFormat="1" applyFont="1" applyFill="1" applyBorder="1" applyAlignment="1">
      <alignment horizontal="center"/>
    </xf>
    <xf numFmtId="2" fontId="21" fillId="6" borderId="46" xfId="0" applyNumberFormat="1" applyFont="1" applyFill="1" applyBorder="1"/>
    <xf numFmtId="2" fontId="21" fillId="6" borderId="9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right" vertical="center"/>
    </xf>
    <xf numFmtId="3" fontId="30" fillId="3" borderId="26" xfId="27" applyNumberFormat="1" applyFont="1" applyFill="1" applyBorder="1" applyAlignment="1">
      <alignment horizontal="right" wrapText="1"/>
    </xf>
    <xf numFmtId="3" fontId="30" fillId="3" borderId="52" xfId="27" applyNumberFormat="1" applyFont="1" applyFill="1" applyBorder="1" applyAlignment="1">
      <alignment horizontal="right" wrapText="1"/>
    </xf>
    <xf numFmtId="0" fontId="14" fillId="0" borderId="18" xfId="0" applyFont="1" applyBorder="1" applyAlignment="1">
      <alignment horizontal="center"/>
    </xf>
    <xf numFmtId="0" fontId="14" fillId="0" borderId="47" xfId="0" applyFont="1" applyBorder="1"/>
    <xf numFmtId="0" fontId="14" fillId="0" borderId="48" xfId="0" applyFont="1" applyBorder="1"/>
    <xf numFmtId="0" fontId="25" fillId="0" borderId="6" xfId="26" applyFont="1" applyFill="1" applyBorder="1" applyAlignment="1">
      <alignment wrapText="1"/>
    </xf>
    <xf numFmtId="0" fontId="25" fillId="0" borderId="14" xfId="26" applyFont="1" applyFill="1" applyBorder="1" applyAlignment="1">
      <alignment wrapText="1"/>
    </xf>
    <xf numFmtId="1" fontId="0" fillId="0" borderId="0" xfId="0" applyNumberFormat="1"/>
    <xf numFmtId="175" fontId="0" fillId="0" borderId="0" xfId="0" applyNumberFormat="1"/>
    <xf numFmtId="37" fontId="0" fillId="0" borderId="0" xfId="0" applyNumberFormat="1"/>
    <xf numFmtId="0" fontId="3" fillId="0" borderId="6" xfId="0" applyFont="1" applyBorder="1"/>
    <xf numFmtId="0" fontId="3" fillId="0" borderId="7" xfId="0" applyFont="1" applyBorder="1"/>
    <xf numFmtId="0" fontId="3" fillId="0" borderId="4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" fontId="13" fillId="3" borderId="53" xfId="0" applyNumberFormat="1" applyFont="1" applyFill="1" applyBorder="1" applyAlignment="1">
      <alignment vertical="center"/>
    </xf>
    <xf numFmtId="167" fontId="13" fillId="3" borderId="51" xfId="0" applyNumberFormat="1" applyFont="1" applyFill="1" applyBorder="1" applyAlignment="1">
      <alignment vertical="center"/>
    </xf>
    <xf numFmtId="1" fontId="13" fillId="3" borderId="54" xfId="0" applyNumberFormat="1" applyFont="1" applyFill="1" applyBorder="1" applyAlignment="1">
      <alignment vertical="center"/>
    </xf>
    <xf numFmtId="167" fontId="13" fillId="3" borderId="55" xfId="0" applyNumberFormat="1" applyFont="1" applyFill="1" applyBorder="1" applyAlignment="1">
      <alignment vertical="center"/>
    </xf>
    <xf numFmtId="1" fontId="13" fillId="3" borderId="56" xfId="0" applyNumberFormat="1" applyFont="1" applyFill="1" applyBorder="1" applyAlignment="1">
      <alignment vertical="center"/>
    </xf>
    <xf numFmtId="167" fontId="13" fillId="3" borderId="57" xfId="0" applyNumberFormat="1" applyFont="1" applyFill="1" applyBorder="1" applyAlignment="1">
      <alignment vertical="center"/>
    </xf>
    <xf numFmtId="167" fontId="13" fillId="3" borderId="43" xfId="0" applyNumberFormat="1" applyFont="1" applyFill="1" applyBorder="1" applyAlignment="1">
      <alignment vertical="center"/>
    </xf>
    <xf numFmtId="167" fontId="13" fillId="3" borderId="7" xfId="0" applyNumberFormat="1" applyFont="1" applyFill="1" applyBorder="1" applyAlignment="1">
      <alignment vertical="center"/>
    </xf>
    <xf numFmtId="167" fontId="13" fillId="3" borderId="45" xfId="0" applyNumberFormat="1" applyFont="1" applyFill="1" applyBorder="1" applyAlignment="1">
      <alignment vertical="center"/>
    </xf>
    <xf numFmtId="0" fontId="13" fillId="0" borderId="59" xfId="0" applyFont="1" applyBorder="1" applyAlignment="1">
      <alignment vertical="center"/>
    </xf>
    <xf numFmtId="0" fontId="14" fillId="0" borderId="56" xfId="0" applyFont="1" applyBorder="1" applyAlignment="1">
      <alignment horizontal="center" vertical="center"/>
    </xf>
    <xf numFmtId="0" fontId="13" fillId="0" borderId="53" xfId="1" applyNumberFormat="1" applyFont="1" applyFill="1" applyBorder="1" applyAlignment="1">
      <alignment horizontal="center" vertical="center"/>
    </xf>
    <xf numFmtId="0" fontId="13" fillId="0" borderId="54" xfId="1" applyNumberFormat="1" applyFont="1" applyFill="1" applyBorder="1" applyAlignment="1">
      <alignment horizontal="center" vertical="center"/>
    </xf>
    <xf numFmtId="0" fontId="13" fillId="0" borderId="56" xfId="1" applyNumberFormat="1" applyFont="1" applyFill="1" applyBorder="1" applyAlignment="1">
      <alignment horizontal="center" vertical="center"/>
    </xf>
    <xf numFmtId="167" fontId="15" fillId="0" borderId="49" xfId="0" applyNumberFormat="1" applyFont="1" applyBorder="1" applyAlignment="1">
      <alignment vertical="center"/>
    </xf>
    <xf numFmtId="0" fontId="32" fillId="0" borderId="0" xfId="0" applyFont="1" applyBorder="1" applyAlignment="1"/>
    <xf numFmtId="0" fontId="33" fillId="0" borderId="0" xfId="0" applyFont="1" applyBorder="1"/>
    <xf numFmtId="0" fontId="11" fillId="0" borderId="0" xfId="0" applyFont="1" applyBorder="1"/>
    <xf numFmtId="0" fontId="26" fillId="0" borderId="30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165" fontId="19" fillId="3" borderId="42" xfId="1" applyNumberFormat="1" applyFont="1" applyFill="1" applyBorder="1" applyAlignment="1">
      <alignment vertical="center"/>
    </xf>
    <xf numFmtId="165" fontId="19" fillId="3" borderId="6" xfId="1" applyNumberFormat="1" applyFont="1" applyFill="1" applyBorder="1" applyAlignment="1">
      <alignment vertical="center"/>
    </xf>
    <xf numFmtId="165" fontId="19" fillId="3" borderId="14" xfId="1" applyNumberFormat="1" applyFont="1" applyFill="1" applyBorder="1" applyAlignment="1">
      <alignment vertical="center"/>
    </xf>
    <xf numFmtId="164" fontId="35" fillId="0" borderId="0" xfId="0" applyNumberFormat="1" applyFont="1" applyBorder="1"/>
    <xf numFmtId="0" fontId="35" fillId="0" borderId="0" xfId="0" applyFont="1" applyBorder="1"/>
    <xf numFmtId="0" fontId="33" fillId="0" borderId="0" xfId="0" applyFont="1" applyBorder="1" applyAlignment="1">
      <alignment horizontal="left"/>
    </xf>
    <xf numFmtId="0" fontId="32" fillId="0" borderId="0" xfId="0" applyFont="1" applyAlignment="1"/>
    <xf numFmtId="0" fontId="19" fillId="0" borderId="0" xfId="0" applyFont="1" applyAlignment="1"/>
    <xf numFmtId="0" fontId="33" fillId="0" borderId="0" xfId="0" applyFont="1" applyFill="1" applyBorder="1"/>
    <xf numFmtId="0" fontId="19" fillId="0" borderId="0" xfId="0" applyFont="1" applyBorder="1"/>
    <xf numFmtId="0" fontId="33" fillId="0" borderId="0" xfId="0" applyFont="1"/>
    <xf numFmtId="175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10" fillId="0" borderId="0" xfId="0" applyFont="1"/>
    <xf numFmtId="0" fontId="0" fillId="8" borderId="0" xfId="0" applyFill="1"/>
    <xf numFmtId="0" fontId="23" fillId="0" borderId="16" xfId="26" applyFont="1" applyBorder="1" applyAlignment="1">
      <alignment horizontal="right" wrapText="1"/>
    </xf>
    <xf numFmtId="0" fontId="23" fillId="0" borderId="16" xfId="26" applyFont="1" applyBorder="1" applyAlignment="1">
      <alignment wrapText="1"/>
    </xf>
    <xf numFmtId="0" fontId="23" fillId="0" borderId="60" xfId="26" applyFont="1" applyBorder="1" applyAlignment="1">
      <alignment horizontal="left" wrapText="1"/>
    </xf>
    <xf numFmtId="0" fontId="23" fillId="7" borderId="61" xfId="26" applyFont="1" applyFill="1" applyBorder="1" applyAlignment="1">
      <alignment horizontal="center"/>
    </xf>
    <xf numFmtId="0" fontId="23" fillId="7" borderId="62" xfId="26" applyFont="1" applyFill="1" applyBorder="1" applyAlignment="1">
      <alignment horizontal="center"/>
    </xf>
    <xf numFmtId="0" fontId="23" fillId="7" borderId="63" xfId="26" applyFont="1" applyFill="1" applyBorder="1" applyAlignment="1">
      <alignment horizontal="center"/>
    </xf>
    <xf numFmtId="0" fontId="23" fillId="7" borderId="64" xfId="26" applyFont="1" applyFill="1" applyBorder="1" applyAlignment="1">
      <alignment horizontal="center"/>
    </xf>
    <xf numFmtId="167" fontId="0" fillId="0" borderId="0" xfId="0" applyNumberFormat="1"/>
    <xf numFmtId="167" fontId="23" fillId="7" borderId="63" xfId="26" applyNumberFormat="1" applyFont="1" applyFill="1" applyBorder="1" applyAlignment="1">
      <alignment horizontal="center" wrapText="1"/>
    </xf>
    <xf numFmtId="167" fontId="23" fillId="7" borderId="65" xfId="26" applyNumberFormat="1" applyFont="1" applyFill="1" applyBorder="1" applyAlignment="1">
      <alignment horizontal="center" wrapText="1"/>
    </xf>
    <xf numFmtId="167" fontId="23" fillId="7" borderId="66" xfId="26" applyNumberFormat="1" applyFont="1" applyFill="1" applyBorder="1" applyAlignment="1">
      <alignment horizontal="center" wrapText="1"/>
    </xf>
    <xf numFmtId="167" fontId="23" fillId="0" borderId="16" xfId="15" applyNumberFormat="1" applyFont="1" applyFill="1" applyBorder="1" applyAlignment="1">
      <alignment horizontal="right" wrapText="1"/>
    </xf>
    <xf numFmtId="0" fontId="0" fillId="0" borderId="30" xfId="0" applyBorder="1"/>
    <xf numFmtId="0" fontId="10" fillId="0" borderId="0" xfId="0" applyFont="1" applyBorder="1"/>
    <xf numFmtId="0" fontId="14" fillId="0" borderId="3" xfId="0" applyFont="1" applyBorder="1" applyAlignment="1">
      <alignment horizontal="center" vertical="center"/>
    </xf>
    <xf numFmtId="165" fontId="19" fillId="0" borderId="0" xfId="1" applyNumberFormat="1" applyFont="1" applyBorder="1"/>
    <xf numFmtId="167" fontId="20" fillId="0" borderId="0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3" fillId="0" borderId="16" xfId="28" applyFont="1" applyBorder="1" applyAlignment="1">
      <alignment horizontal="right" wrapText="1"/>
    </xf>
    <xf numFmtId="0" fontId="23" fillId="0" borderId="16" xfId="28" applyFont="1" applyBorder="1" applyAlignment="1">
      <alignment wrapText="1"/>
    </xf>
    <xf numFmtId="0" fontId="23" fillId="0" borderId="16" xfId="28" applyFont="1" applyBorder="1" applyAlignment="1">
      <alignment horizontal="left" wrapText="1"/>
    </xf>
    <xf numFmtId="165" fontId="23" fillId="0" borderId="16" xfId="1" applyNumberFormat="1" applyFont="1" applyFill="1" applyBorder="1" applyAlignment="1">
      <alignment horizontal="right" wrapText="1"/>
    </xf>
    <xf numFmtId="165" fontId="23" fillId="0" borderId="0" xfId="1" applyNumberFormat="1" applyFont="1" applyFill="1" applyBorder="1" applyAlignment="1">
      <alignment horizontal="right" wrapText="1"/>
    </xf>
    <xf numFmtId="0" fontId="23" fillId="9" borderId="67" xfId="28" applyFont="1" applyFill="1" applyBorder="1" applyAlignment="1">
      <alignment horizontal="center"/>
    </xf>
    <xf numFmtId="0" fontId="23" fillId="9" borderId="17" xfId="28" applyFont="1" applyFill="1" applyBorder="1" applyAlignment="1">
      <alignment horizontal="center"/>
    </xf>
    <xf numFmtId="0" fontId="23" fillId="9" borderId="68" xfId="28" applyFont="1" applyFill="1" applyBorder="1" applyAlignment="1">
      <alignment horizontal="center"/>
    </xf>
    <xf numFmtId="0" fontId="23" fillId="7" borderId="68" xfId="28" applyFont="1" applyFill="1" applyBorder="1" applyAlignment="1">
      <alignment horizontal="center"/>
    </xf>
    <xf numFmtId="0" fontId="23" fillId="7" borderId="69" xfId="28" applyFont="1" applyFill="1" applyBorder="1" applyAlignment="1">
      <alignment horizontal="center"/>
    </xf>
    <xf numFmtId="0" fontId="23" fillId="7" borderId="70" xfId="28" applyFont="1" applyFill="1" applyBorder="1" applyAlignment="1">
      <alignment horizontal="center"/>
    </xf>
    <xf numFmtId="0" fontId="23" fillId="7" borderId="71" xfId="28" applyFont="1" applyFill="1" applyBorder="1" applyAlignment="1">
      <alignment horizontal="center"/>
    </xf>
    <xf numFmtId="0" fontId="23" fillId="7" borderId="68" xfId="28" applyFont="1" applyFill="1" applyBorder="1" applyAlignment="1">
      <alignment horizontal="center" wrapText="1"/>
    </xf>
    <xf numFmtId="0" fontId="23" fillId="7" borderId="18" xfId="28" applyFont="1" applyFill="1" applyBorder="1" applyAlignment="1">
      <alignment horizontal="center" wrapText="1"/>
    </xf>
    <xf numFmtId="165" fontId="0" fillId="0" borderId="0" xfId="0" applyNumberFormat="1"/>
    <xf numFmtId="0" fontId="23" fillId="7" borderId="29" xfId="28" applyFont="1" applyFill="1" applyBorder="1" applyAlignment="1">
      <alignment horizontal="center"/>
    </xf>
    <xf numFmtId="0" fontId="23" fillId="7" borderId="18" xfId="28" applyFont="1" applyFill="1" applyBorder="1" applyAlignment="1">
      <alignment horizontal="center"/>
    </xf>
    <xf numFmtId="0" fontId="0" fillId="0" borderId="0" xfId="0" applyAlignment="1">
      <alignment horizontal="right"/>
    </xf>
    <xf numFmtId="0" fontId="23" fillId="9" borderId="17" xfId="28" applyFont="1" applyFill="1" applyBorder="1" applyAlignment="1">
      <alignment horizontal="right"/>
    </xf>
    <xf numFmtId="0" fontId="23" fillId="7" borderId="70" xfId="28" applyFont="1" applyFill="1" applyBorder="1" applyAlignment="1">
      <alignment horizontal="right"/>
    </xf>
    <xf numFmtId="0" fontId="23" fillId="0" borderId="16" xfId="29" applyFont="1" applyBorder="1" applyAlignment="1">
      <alignment horizontal="right" wrapText="1"/>
    </xf>
    <xf numFmtId="0" fontId="23" fillId="0" borderId="16" xfId="29" applyFont="1" applyBorder="1" applyAlignment="1">
      <alignment wrapText="1"/>
    </xf>
    <xf numFmtId="0" fontId="23" fillId="0" borderId="16" xfId="30" applyFont="1" applyBorder="1" applyAlignment="1">
      <alignment horizontal="left" wrapText="1"/>
    </xf>
    <xf numFmtId="1" fontId="0" fillId="0" borderId="0" xfId="1" applyNumberFormat="1" applyFont="1"/>
    <xf numFmtId="165" fontId="0" fillId="0" borderId="0" xfId="1" applyNumberFormat="1" applyFont="1"/>
    <xf numFmtId="0" fontId="0" fillId="10" borderId="0" xfId="0" applyFill="1" applyAlignment="1">
      <alignment horizontal="center"/>
    </xf>
    <xf numFmtId="0" fontId="23" fillId="10" borderId="0" xfId="28" applyFont="1" applyFill="1" applyBorder="1" applyAlignment="1">
      <alignment horizontal="center" wrapText="1"/>
    </xf>
    <xf numFmtId="0" fontId="23" fillId="0" borderId="16" xfId="27" applyFont="1" applyBorder="1" applyAlignment="1">
      <alignment horizontal="right" wrapText="1"/>
    </xf>
    <xf numFmtId="0" fontId="23" fillId="0" borderId="16" xfId="27" applyFont="1" applyBorder="1" applyAlignment="1">
      <alignment wrapText="1"/>
    </xf>
    <xf numFmtId="3" fontId="23" fillId="0" borderId="16" xfId="27" applyNumberFormat="1" applyFont="1" applyBorder="1" applyAlignment="1">
      <alignment horizontal="right" wrapText="1"/>
    </xf>
    <xf numFmtId="0" fontId="23" fillId="7" borderId="0" xfId="30" applyFont="1" applyFill="1" applyAlignment="1">
      <alignment horizontal="center"/>
    </xf>
    <xf numFmtId="0" fontId="23" fillId="7" borderId="69" xfId="30" applyFont="1" applyFill="1" applyBorder="1" applyAlignment="1">
      <alignment horizontal="center"/>
    </xf>
    <xf numFmtId="0" fontId="23" fillId="7" borderId="70" xfId="30" applyFont="1" applyFill="1" applyBorder="1" applyAlignment="1">
      <alignment horizontal="center"/>
    </xf>
    <xf numFmtId="0" fontId="23" fillId="7" borderId="70" xfId="30" applyFont="1" applyFill="1" applyBorder="1" applyAlignment="1">
      <alignment horizontal="left"/>
    </xf>
    <xf numFmtId="3" fontId="23" fillId="7" borderId="71" xfId="30" applyNumberFormat="1" applyFont="1" applyFill="1" applyBorder="1" applyAlignment="1">
      <alignment horizontal="center"/>
    </xf>
    <xf numFmtId="0" fontId="23" fillId="0" borderId="60" xfId="30" applyFont="1" applyBorder="1" applyAlignment="1">
      <alignment horizontal="left" wrapText="1"/>
    </xf>
    <xf numFmtId="3" fontId="23" fillId="0" borderId="60" xfId="27" applyNumberFormat="1" applyFont="1" applyBorder="1" applyAlignment="1">
      <alignment horizontal="right" wrapText="1"/>
    </xf>
    <xf numFmtId="0" fontId="23" fillId="7" borderId="69" xfId="30" applyFont="1" applyFill="1" applyBorder="1" applyAlignment="1">
      <alignment horizontal="left"/>
    </xf>
    <xf numFmtId="3" fontId="23" fillId="7" borderId="29" xfId="30" applyNumberFormat="1" applyFont="1" applyFill="1" applyBorder="1" applyAlignment="1">
      <alignment horizontal="center"/>
    </xf>
    <xf numFmtId="167" fontId="0" fillId="0" borderId="0" xfId="15" applyNumberFormat="1" applyFont="1"/>
    <xf numFmtId="0" fontId="20" fillId="4" borderId="26" xfId="0" applyFont="1" applyFill="1" applyBorder="1" applyAlignment="1">
      <alignment horizontal="right" vertical="center"/>
    </xf>
    <xf numFmtId="165" fontId="13" fillId="4" borderId="50" xfId="1" applyNumberFormat="1" applyFont="1" applyFill="1" applyBorder="1" applyAlignment="1">
      <alignment vertical="center"/>
    </xf>
    <xf numFmtId="165" fontId="13" fillId="4" borderId="18" xfId="1" applyNumberFormat="1" applyFont="1" applyFill="1" applyBorder="1" applyAlignment="1">
      <alignment vertical="center"/>
    </xf>
    <xf numFmtId="165" fontId="13" fillId="4" borderId="27" xfId="1" applyNumberFormat="1" applyFont="1" applyFill="1" applyBorder="1" applyAlignment="1">
      <alignment vertical="center"/>
    </xf>
    <xf numFmtId="165" fontId="13" fillId="4" borderId="40" xfId="1" applyNumberFormat="1" applyFont="1" applyFill="1" applyBorder="1" applyAlignment="1">
      <alignment vertical="center"/>
    </xf>
    <xf numFmtId="166" fontId="13" fillId="4" borderId="41" xfId="15" applyNumberFormat="1" applyFont="1" applyFill="1" applyBorder="1" applyAlignment="1">
      <alignment vertical="center"/>
    </xf>
    <xf numFmtId="165" fontId="13" fillId="4" borderId="6" xfId="1" applyNumberFormat="1" applyFont="1" applyFill="1" applyBorder="1"/>
    <xf numFmtId="0" fontId="0" fillId="0" borderId="0" xfId="0" applyFill="1"/>
    <xf numFmtId="167" fontId="13" fillId="4" borderId="0" xfId="0" applyNumberFormat="1" applyFont="1" applyFill="1" applyBorder="1"/>
    <xf numFmtId="165" fontId="20" fillId="6" borderId="11" xfId="1" applyNumberFormat="1" applyFont="1" applyFill="1" applyBorder="1"/>
    <xf numFmtId="167" fontId="20" fillId="6" borderId="12" xfId="0" applyNumberFormat="1" applyFont="1" applyFill="1" applyBorder="1"/>
    <xf numFmtId="167" fontId="13" fillId="4" borderId="3" xfId="0" applyNumberFormat="1" applyFont="1" applyFill="1" applyBorder="1"/>
    <xf numFmtId="167" fontId="13" fillId="4" borderId="17" xfId="0" applyNumberFormat="1" applyFont="1" applyFill="1" applyBorder="1"/>
    <xf numFmtId="167" fontId="13" fillId="6" borderId="24" xfId="0" applyNumberFormat="1" applyFont="1" applyFill="1" applyBorder="1"/>
    <xf numFmtId="167" fontId="13" fillId="6" borderId="25" xfId="0" applyNumberFormat="1" applyFont="1" applyFill="1" applyBorder="1"/>
    <xf numFmtId="167" fontId="13" fillId="6" borderId="26" xfId="0" applyNumberFormat="1" applyFont="1" applyFill="1" applyBorder="1"/>
    <xf numFmtId="0" fontId="13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5" fontId="13" fillId="4" borderId="42" xfId="1" applyNumberFormat="1" applyFont="1" applyFill="1" applyBorder="1"/>
    <xf numFmtId="0" fontId="13" fillId="0" borderId="43" xfId="1" applyNumberFormat="1" applyFont="1" applyFill="1" applyBorder="1" applyAlignment="1">
      <alignment horizontal="right"/>
    </xf>
    <xf numFmtId="165" fontId="13" fillId="4" borderId="14" xfId="1" applyNumberFormat="1" applyFont="1" applyFill="1" applyBorder="1"/>
    <xf numFmtId="0" fontId="13" fillId="0" borderId="45" xfId="1" applyNumberFormat="1" applyFont="1" applyFill="1" applyBorder="1" applyAlignment="1">
      <alignment horizontal="right"/>
    </xf>
    <xf numFmtId="167" fontId="20" fillId="6" borderId="40" xfId="0" applyNumberFormat="1" applyFont="1" applyFill="1" applyBorder="1"/>
    <xf numFmtId="0" fontId="36" fillId="0" borderId="0" xfId="0" applyFont="1"/>
    <xf numFmtId="0" fontId="30" fillId="0" borderId="16" xfId="26" applyFont="1" applyBorder="1" applyAlignment="1">
      <alignment horizontal="right" wrapText="1"/>
    </xf>
    <xf numFmtId="0" fontId="30" fillId="0" borderId="60" xfId="26" applyFont="1" applyBorder="1" applyAlignment="1">
      <alignment horizontal="left" wrapText="1"/>
    </xf>
    <xf numFmtId="167" fontId="36" fillId="0" borderId="0" xfId="0" applyNumberFormat="1" applyFont="1"/>
    <xf numFmtId="0" fontId="30" fillId="0" borderId="16" xfId="26" applyFont="1" applyBorder="1" applyAlignment="1">
      <alignment wrapText="1"/>
    </xf>
    <xf numFmtId="0" fontId="13" fillId="0" borderId="6" xfId="0" applyFont="1" applyBorder="1" applyAlignment="1">
      <alignment horizontal="center"/>
    </xf>
    <xf numFmtId="1" fontId="13" fillId="0" borderId="0" xfId="0" applyNumberFormat="1" applyFont="1" applyBorder="1"/>
    <xf numFmtId="171" fontId="13" fillId="0" borderId="0" xfId="0" applyNumberFormat="1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" fontId="13" fillId="0" borderId="2" xfId="0" applyNumberFormat="1" applyFont="1" applyBorder="1"/>
    <xf numFmtId="171" fontId="13" fillId="0" borderId="2" xfId="0" applyNumberFormat="1" applyFont="1" applyBorder="1"/>
    <xf numFmtId="0" fontId="13" fillId="0" borderId="9" xfId="0" applyFont="1" applyBorder="1" applyAlignment="1">
      <alignment horizontal="center"/>
    </xf>
    <xf numFmtId="171" fontId="23" fillId="0" borderId="16" xfId="15" applyNumberFormat="1" applyFont="1" applyFill="1" applyBorder="1" applyAlignment="1">
      <alignment horizontal="right" wrapText="1"/>
    </xf>
    <xf numFmtId="0" fontId="23" fillId="7" borderId="0" xfId="28" applyFont="1" applyFill="1" applyAlignment="1">
      <alignment horizontal="center"/>
    </xf>
    <xf numFmtId="2" fontId="37" fillId="0" borderId="0" xfId="28" applyNumberFormat="1" applyFont="1" applyAlignment="1">
      <alignment horizontal="right" wrapText="1"/>
    </xf>
    <xf numFmtId="10" fontId="13" fillId="4" borderId="24" xfId="2" applyNumberFormat="1" applyFont="1" applyFill="1" applyBorder="1" applyAlignment="1">
      <alignment horizontal="right"/>
    </xf>
    <xf numFmtId="0" fontId="13" fillId="4" borderId="25" xfId="0" applyFont="1" applyFill="1" applyBorder="1" applyAlignment="1">
      <alignment horizontal="right"/>
    </xf>
    <xf numFmtId="166" fontId="13" fillId="4" borderId="25" xfId="0" applyNumberFormat="1" applyFont="1" applyFill="1" applyBorder="1" applyAlignment="1">
      <alignment horizontal="right"/>
    </xf>
    <xf numFmtId="165" fontId="13" fillId="4" borderId="28" xfId="1" applyNumberFormat="1" applyFont="1" applyFill="1" applyBorder="1"/>
    <xf numFmtId="167" fontId="25" fillId="4" borderId="24" xfId="15" applyNumberFormat="1" applyFont="1" applyFill="1" applyBorder="1" applyAlignment="1">
      <alignment horizontal="right" wrapText="1"/>
    </xf>
    <xf numFmtId="167" fontId="25" fillId="4" borderId="25" xfId="15" applyNumberFormat="1" applyFont="1" applyFill="1" applyBorder="1" applyAlignment="1">
      <alignment horizontal="right" wrapText="1"/>
    </xf>
    <xf numFmtId="167" fontId="25" fillId="4" borderId="26" xfId="15" applyNumberFormat="1" applyFont="1" applyFill="1" applyBorder="1" applyAlignment="1">
      <alignment horizontal="right" wrapText="1"/>
    </xf>
    <xf numFmtId="0" fontId="19" fillId="0" borderId="0" xfId="0" applyFont="1"/>
    <xf numFmtId="0" fontId="23" fillId="7" borderId="18" xfId="28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  <xf numFmtId="171" fontId="0" fillId="0" borderId="0" xfId="15" applyNumberFormat="1" applyFont="1" applyAlignment="1">
      <alignment horizontal="right"/>
    </xf>
    <xf numFmtId="165" fontId="0" fillId="0" borderId="0" xfId="1" applyNumberFormat="1" applyFont="1" applyAlignment="1">
      <alignment horizontal="right"/>
    </xf>
    <xf numFmtId="0" fontId="23" fillId="0" borderId="16" xfId="26" applyFont="1" applyBorder="1" applyAlignment="1">
      <alignment horizontal="left" wrapText="1"/>
    </xf>
    <xf numFmtId="0" fontId="38" fillId="0" borderId="72" xfId="0" applyFont="1" applyBorder="1" applyAlignment="1">
      <alignment horizontal="right" wrapText="1"/>
    </xf>
    <xf numFmtId="0" fontId="38" fillId="0" borderId="73" xfId="0" applyFont="1" applyBorder="1" applyAlignment="1">
      <alignment horizontal="right" wrapText="1"/>
    </xf>
    <xf numFmtId="0" fontId="38" fillId="0" borderId="73" xfId="0" applyFont="1" applyBorder="1" applyAlignment="1">
      <alignment wrapText="1"/>
    </xf>
    <xf numFmtId="0" fontId="38" fillId="0" borderId="73" xfId="0" applyFont="1" applyBorder="1" applyAlignment="1">
      <alignment horizontal="left" wrapText="1"/>
    </xf>
    <xf numFmtId="167" fontId="38" fillId="0" borderId="73" xfId="0" applyNumberFormat="1" applyFont="1" applyBorder="1" applyAlignment="1">
      <alignment horizontal="right" wrapText="1"/>
    </xf>
    <xf numFmtId="167" fontId="38" fillId="0" borderId="74" xfId="0" applyNumberFormat="1" applyFont="1" applyBorder="1" applyAlignment="1">
      <alignment horizontal="right" wrapText="1"/>
    </xf>
    <xf numFmtId="0" fontId="38" fillId="0" borderId="75" xfId="0" applyFont="1" applyBorder="1" applyAlignment="1">
      <alignment horizontal="right" wrapText="1"/>
    </xf>
    <xf numFmtId="0" fontId="38" fillId="0" borderId="74" xfId="0" applyFont="1" applyBorder="1" applyAlignment="1">
      <alignment horizontal="right" wrapText="1"/>
    </xf>
    <xf numFmtId="0" fontId="38" fillId="0" borderId="74" xfId="0" applyFont="1" applyBorder="1" applyAlignment="1">
      <alignment wrapText="1"/>
    </xf>
    <xf numFmtId="0" fontId="38" fillId="0" borderId="74" xfId="0" applyFont="1" applyBorder="1" applyAlignment="1">
      <alignment horizontal="left" wrapText="1"/>
    </xf>
    <xf numFmtId="0" fontId="39" fillId="11" borderId="76" xfId="26" applyFont="1" applyFill="1" applyBorder="1" applyAlignment="1">
      <alignment horizontal="center"/>
    </xf>
    <xf numFmtId="0" fontId="39" fillId="11" borderId="77" xfId="26" applyFont="1" applyFill="1" applyBorder="1" applyAlignment="1">
      <alignment horizontal="center"/>
    </xf>
    <xf numFmtId="0" fontId="39" fillId="11" borderId="67" xfId="26" applyFont="1" applyFill="1" applyBorder="1" applyAlignment="1">
      <alignment horizontal="center"/>
    </xf>
    <xf numFmtId="0" fontId="39" fillId="11" borderId="64" xfId="26" applyFont="1" applyFill="1" applyBorder="1" applyAlignment="1">
      <alignment horizontal="center"/>
    </xf>
    <xf numFmtId="167" fontId="39" fillId="11" borderId="67" xfId="26" applyNumberFormat="1" applyFont="1" applyFill="1" applyBorder="1" applyAlignment="1">
      <alignment horizontal="center" wrapText="1"/>
    </xf>
    <xf numFmtId="167" fontId="39" fillId="11" borderId="65" xfId="26" applyNumberFormat="1" applyFont="1" applyFill="1" applyBorder="1" applyAlignment="1">
      <alignment horizontal="center" wrapText="1"/>
    </xf>
    <xf numFmtId="167" fontId="39" fillId="11" borderId="68" xfId="26" applyNumberFormat="1" applyFont="1" applyFill="1" applyBorder="1" applyAlignment="1">
      <alignment horizontal="center" wrapText="1"/>
    </xf>
    <xf numFmtId="167" fontId="39" fillId="11" borderId="64" xfId="26" applyNumberFormat="1" applyFont="1" applyFill="1" applyBorder="1" applyAlignment="1">
      <alignment horizontal="center" wrapText="1"/>
    </xf>
    <xf numFmtId="176" fontId="0" fillId="0" borderId="0" xfId="2" applyNumberFormat="1" applyFont="1"/>
    <xf numFmtId="171" fontId="13" fillId="0" borderId="0" xfId="15" applyNumberFormat="1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171" fontId="13" fillId="0" borderId="2" xfId="15" applyNumberFormat="1" applyFont="1" applyBorder="1" applyAlignment="1">
      <alignment horizontal="center"/>
    </xf>
    <xf numFmtId="167" fontId="20" fillId="6" borderId="2" xfId="0" applyNumberFormat="1" applyFont="1" applyFill="1" applyBorder="1"/>
    <xf numFmtId="167" fontId="13" fillId="6" borderId="3" xfId="0" applyNumberFormat="1" applyFont="1" applyFill="1" applyBorder="1"/>
    <xf numFmtId="167" fontId="13" fillId="6" borderId="0" xfId="0" applyNumberFormat="1" applyFont="1" applyFill="1" applyBorder="1"/>
    <xf numFmtId="167" fontId="13" fillId="6" borderId="65" xfId="0" applyNumberFormat="1" applyFont="1" applyFill="1" applyBorder="1"/>
    <xf numFmtId="165" fontId="20" fillId="6" borderId="8" xfId="1" applyNumberFormat="1" applyFont="1" applyFill="1" applyBorder="1"/>
    <xf numFmtId="167" fontId="13" fillId="4" borderId="25" xfId="0" applyNumberFormat="1" applyFont="1" applyFill="1" applyBorder="1"/>
    <xf numFmtId="167" fontId="13" fillId="4" borderId="26" xfId="0" applyNumberFormat="1" applyFont="1" applyFill="1" applyBorder="1"/>
    <xf numFmtId="2" fontId="13" fillId="0" borderId="0" xfId="0" applyNumberFormat="1" applyFont="1" applyFill="1" applyBorder="1" applyAlignment="1">
      <alignment horizontal="center"/>
    </xf>
    <xf numFmtId="0" fontId="16" fillId="0" borderId="18" xfId="0" applyFont="1" applyBorder="1"/>
    <xf numFmtId="0" fontId="9" fillId="0" borderId="0" xfId="0" applyFont="1" applyBorder="1" applyAlignment="1">
      <alignment horizontal="center"/>
    </xf>
    <xf numFmtId="0" fontId="11" fillId="0" borderId="14" xfId="0" applyFont="1" applyBorder="1"/>
    <xf numFmtId="0" fontId="13" fillId="0" borderId="65" xfId="0" applyFont="1" applyBorder="1"/>
    <xf numFmtId="0" fontId="23" fillId="0" borderId="78" xfId="26" applyFont="1" applyBorder="1" applyAlignment="1">
      <alignment horizontal="right" wrapText="1"/>
    </xf>
    <xf numFmtId="0" fontId="23" fillId="0" borderId="78" xfId="26" applyFont="1" applyBorder="1" applyAlignment="1">
      <alignment wrapText="1"/>
    </xf>
    <xf numFmtId="0" fontId="23" fillId="0" borderId="79" xfId="26" applyFont="1" applyBorder="1" applyAlignment="1">
      <alignment horizontal="right" wrapText="1"/>
    </xf>
    <xf numFmtId="0" fontId="23" fillId="0" borderId="79" xfId="26" applyFont="1" applyBorder="1" applyAlignment="1">
      <alignment wrapText="1"/>
    </xf>
    <xf numFmtId="0" fontId="0" fillId="0" borderId="80" xfId="0" applyBorder="1"/>
    <xf numFmtId="10" fontId="0" fillId="0" borderId="80" xfId="2" applyNumberFormat="1" applyFont="1" applyBorder="1"/>
    <xf numFmtId="171" fontId="0" fillId="0" borderId="0" xfId="15" applyNumberFormat="1" applyFont="1"/>
    <xf numFmtId="0" fontId="14" fillId="0" borderId="0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4" fillId="0" borderId="4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5" xfId="0" applyFont="1" applyBorder="1" applyAlignment="1">
      <alignment horizontal="right" wrapText="1"/>
    </xf>
    <xf numFmtId="165" fontId="13" fillId="4" borderId="53" xfId="1" applyNumberFormat="1" applyFont="1" applyFill="1" applyBorder="1"/>
    <xf numFmtId="165" fontId="13" fillId="4" borderId="54" xfId="1" applyNumberFormat="1" applyFont="1" applyFill="1" applyBorder="1"/>
    <xf numFmtId="165" fontId="13" fillId="4" borderId="56" xfId="1" applyNumberFormat="1" applyFont="1" applyFill="1" applyBorder="1"/>
    <xf numFmtId="165" fontId="19" fillId="0" borderId="6" xfId="1" applyNumberFormat="1" applyFont="1" applyBorder="1"/>
    <xf numFmtId="0" fontId="14" fillId="0" borderId="42" xfId="0" applyFont="1" applyBorder="1"/>
    <xf numFmtId="0" fontId="14" fillId="0" borderId="24" xfId="0" applyFont="1" applyBorder="1" applyAlignment="1">
      <alignment horizontal="center"/>
    </xf>
    <xf numFmtId="0" fontId="14" fillId="0" borderId="43" xfId="0" applyFont="1" applyBorder="1"/>
    <xf numFmtId="0" fontId="13" fillId="0" borderId="80" xfId="0" applyFont="1" applyBorder="1"/>
    <xf numFmtId="0" fontId="23" fillId="0" borderId="42" xfId="26" applyFont="1" applyBorder="1" applyAlignment="1">
      <alignment wrapText="1"/>
    </xf>
    <xf numFmtId="0" fontId="23" fillId="0" borderId="6" xfId="26" applyFont="1" applyBorder="1" applyAlignment="1">
      <alignment wrapText="1"/>
    </xf>
    <xf numFmtId="0" fontId="23" fillId="0" borderId="14" xfId="26" applyFont="1" applyBorder="1" applyAlignment="1">
      <alignment wrapText="1"/>
    </xf>
    <xf numFmtId="166" fontId="20" fillId="6" borderId="9" xfId="15" applyNumberFormat="1" applyFont="1" applyFill="1" applyBorder="1"/>
    <xf numFmtId="166" fontId="20" fillId="6" borderId="24" xfId="0" applyNumberFormat="1" applyFont="1" applyFill="1" applyBorder="1"/>
    <xf numFmtId="166" fontId="20" fillId="6" borderId="25" xfId="0" applyNumberFormat="1" applyFont="1" applyFill="1" applyBorder="1"/>
    <xf numFmtId="166" fontId="20" fillId="6" borderId="46" xfId="0" applyNumberFormat="1" applyFont="1" applyFill="1" applyBorder="1"/>
    <xf numFmtId="170" fontId="20" fillId="6" borderId="24" xfId="1" applyNumberFormat="1" applyFont="1" applyFill="1" applyBorder="1"/>
    <xf numFmtId="167" fontId="20" fillId="6" borderId="46" xfId="0" applyNumberFormat="1" applyFont="1" applyFill="1" applyBorder="1"/>
    <xf numFmtId="8" fontId="20" fillId="6" borderId="24" xfId="0" applyNumberFormat="1" applyFont="1" applyFill="1" applyBorder="1"/>
    <xf numFmtId="8" fontId="20" fillId="6" borderId="46" xfId="0" applyNumberFormat="1" applyFont="1" applyFill="1" applyBorder="1"/>
    <xf numFmtId="0" fontId="16" fillId="0" borderId="34" xfId="0" applyFont="1" applyBorder="1" applyAlignment="1">
      <alignment horizontal="right"/>
    </xf>
    <xf numFmtId="0" fontId="16" fillId="0" borderId="37" xfId="0" applyFont="1" applyBorder="1"/>
    <xf numFmtId="8" fontId="20" fillId="6" borderId="7" xfId="0" applyNumberFormat="1" applyFont="1" applyFill="1" applyBorder="1"/>
    <xf numFmtId="8" fontId="20" fillId="6" borderId="9" xfId="0" applyNumberFormat="1" applyFont="1" applyFill="1" applyBorder="1"/>
    <xf numFmtId="0" fontId="13" fillId="0" borderId="28" xfId="0" applyFont="1" applyBorder="1"/>
    <xf numFmtId="172" fontId="31" fillId="6" borderId="46" xfId="0" applyNumberFormat="1" applyFont="1" applyFill="1" applyBorder="1" applyAlignment="1">
      <alignment horizontal="center"/>
    </xf>
    <xf numFmtId="0" fontId="16" fillId="0" borderId="0" xfId="0" applyFont="1"/>
    <xf numFmtId="167" fontId="40" fillId="0" borderId="0" xfId="26" applyNumberFormat="1" applyFont="1" applyFill="1" applyBorder="1" applyAlignment="1">
      <alignment horizontal="left"/>
    </xf>
    <xf numFmtId="0" fontId="23" fillId="0" borderId="78" xfId="28" applyFont="1" applyBorder="1" applyAlignment="1">
      <alignment horizontal="left" wrapText="1"/>
    </xf>
    <xf numFmtId="0" fontId="23" fillId="0" borderId="81" xfId="28" applyFont="1" applyFill="1" applyBorder="1" applyAlignment="1">
      <alignment horizontal="left" wrapText="1"/>
    </xf>
    <xf numFmtId="0" fontId="41" fillId="0" borderId="80" xfId="0" applyFont="1" applyBorder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80" xfId="0" applyBorder="1" applyAlignment="1">
      <alignment horizontal="center"/>
    </xf>
    <xf numFmtId="3" fontId="0" fillId="0" borderId="80" xfId="0" applyNumberFormat="1" applyBorder="1" applyAlignment="1">
      <alignment horizontal="right"/>
    </xf>
    <xf numFmtId="0" fontId="41" fillId="0" borderId="80" xfId="0" applyFont="1" applyBorder="1" applyAlignment="1">
      <alignment horizontal="center" wrapText="1"/>
    </xf>
    <xf numFmtId="0" fontId="41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41" fillId="0" borderId="0" xfId="0" applyNumberFormat="1" applyFont="1" applyBorder="1" applyAlignment="1">
      <alignment horizontal="center"/>
    </xf>
    <xf numFmtId="3" fontId="41" fillId="0" borderId="80" xfId="0" applyNumberFormat="1" applyFont="1" applyBorder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0" fillId="0" borderId="28" xfId="0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3" fontId="0" fillId="0" borderId="28" xfId="0" applyNumberFormat="1" applyBorder="1"/>
    <xf numFmtId="0" fontId="3" fillId="0" borderId="8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80" xfId="0" applyFont="1" applyFill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80" xfId="0" applyFont="1" applyBorder="1"/>
    <xf numFmtId="165" fontId="0" fillId="0" borderId="80" xfId="1" applyNumberFormat="1" applyFont="1" applyBorder="1"/>
    <xf numFmtId="165" fontId="0" fillId="0" borderId="80" xfId="0" applyNumberFormat="1" applyBorder="1"/>
    <xf numFmtId="2" fontId="3" fillId="0" borderId="0" xfId="0" applyNumberFormat="1" applyFont="1" applyBorder="1" applyAlignment="1">
      <alignment horizontal="center"/>
    </xf>
    <xf numFmtId="3" fontId="0" fillId="0" borderId="0" xfId="0" applyNumberFormat="1" applyBorder="1"/>
    <xf numFmtId="0" fontId="3" fillId="0" borderId="18" xfId="0" applyFont="1" applyBorder="1"/>
    <xf numFmtId="2" fontId="0" fillId="0" borderId="0" xfId="0" applyNumberFormat="1" applyAlignment="1">
      <alignment horizontal="center"/>
    </xf>
    <xf numFmtId="2" fontId="0" fillId="0" borderId="80" xfId="0" applyNumberFormat="1" applyBorder="1" applyAlignment="1">
      <alignment horizontal="center"/>
    </xf>
    <xf numFmtId="0" fontId="42" fillId="0" borderId="0" xfId="0" applyFont="1"/>
    <xf numFmtId="9" fontId="0" fillId="0" borderId="0" xfId="2" applyFont="1"/>
    <xf numFmtId="10" fontId="0" fillId="0" borderId="0" xfId="2" applyNumberFormat="1" applyFont="1"/>
    <xf numFmtId="2" fontId="0" fillId="0" borderId="0" xfId="1" applyNumberFormat="1" applyFont="1" applyAlignment="1">
      <alignment horizontal="center"/>
    </xf>
    <xf numFmtId="0" fontId="23" fillId="0" borderId="16" xfId="30" applyFont="1" applyBorder="1" applyAlignment="1">
      <alignment horizontal="right" wrapText="1"/>
    </xf>
    <xf numFmtId="0" fontId="23" fillId="0" borderId="0" xfId="27" applyFont="1" applyBorder="1" applyAlignment="1">
      <alignment horizontal="right" wrapText="1"/>
    </xf>
    <xf numFmtId="177" fontId="0" fillId="0" borderId="0" xfId="0" applyNumberFormat="1"/>
    <xf numFmtId="173" fontId="0" fillId="0" borderId="0" xfId="0" applyNumberFormat="1"/>
    <xf numFmtId="43" fontId="0" fillId="0" borderId="0" xfId="1" applyFont="1"/>
    <xf numFmtId="0" fontId="0" fillId="0" borderId="84" xfId="0" applyBorder="1"/>
    <xf numFmtId="0" fontId="0" fillId="0" borderId="82" xfId="0" applyBorder="1"/>
    <xf numFmtId="0" fontId="0" fillId="0" borderId="83" xfId="0" applyBorder="1"/>
    <xf numFmtId="0" fontId="0" fillId="0" borderId="85" xfId="0" applyBorder="1"/>
    <xf numFmtId="0" fontId="0" fillId="0" borderId="68" xfId="0" applyBorder="1"/>
    <xf numFmtId="0" fontId="0" fillId="0" borderId="86" xfId="0" applyBorder="1" applyAlignment="1">
      <alignment horizontal="right"/>
    </xf>
    <xf numFmtId="0" fontId="23" fillId="0" borderId="87" xfId="30" applyFont="1" applyBorder="1" applyAlignment="1">
      <alignment horizontal="right" wrapText="1"/>
    </xf>
    <xf numFmtId="3" fontId="0" fillId="0" borderId="88" xfId="0" applyNumberFormat="1" applyBorder="1"/>
    <xf numFmtId="0" fontId="0" fillId="0" borderId="86" xfId="0" applyBorder="1"/>
    <xf numFmtId="0" fontId="0" fillId="0" borderId="88" xfId="0" applyBorder="1"/>
    <xf numFmtId="165" fontId="0" fillId="0" borderId="88" xfId="1" applyNumberFormat="1" applyFont="1" applyBorder="1"/>
    <xf numFmtId="165" fontId="0" fillId="0" borderId="68" xfId="1" applyNumberFormat="1" applyFont="1" applyBorder="1"/>
    <xf numFmtId="0" fontId="23" fillId="0" borderId="89" xfId="27" applyFont="1" applyBorder="1" applyAlignment="1">
      <alignment horizontal="right" wrapText="1"/>
    </xf>
    <xf numFmtId="0" fontId="23" fillId="0" borderId="87" xfId="27" applyFont="1" applyBorder="1" applyAlignment="1">
      <alignment horizontal="right" wrapText="1"/>
    </xf>
    <xf numFmtId="0" fontId="23" fillId="0" borderId="90" xfId="27" applyFont="1" applyBorder="1" applyAlignment="1">
      <alignment horizontal="right" wrapText="1"/>
    </xf>
    <xf numFmtId="0" fontId="23" fillId="0" borderId="91" xfId="27" applyFont="1" applyBorder="1" applyAlignment="1">
      <alignment horizontal="right" wrapText="1"/>
    </xf>
    <xf numFmtId="0" fontId="23" fillId="0" borderId="92" xfId="27" applyFont="1" applyBorder="1" applyAlignment="1">
      <alignment horizontal="right" wrapText="1"/>
    </xf>
    <xf numFmtId="165" fontId="0" fillId="0" borderId="83" xfId="1" applyNumberFormat="1" applyFont="1" applyBorder="1"/>
    <xf numFmtId="0" fontId="0" fillId="6" borderId="86" xfId="0" applyFont="1" applyFill="1" applyBorder="1" applyAlignment="1">
      <alignment horizontal="right"/>
    </xf>
    <xf numFmtId="0" fontId="43" fillId="6" borderId="16" xfId="30" applyFont="1" applyFill="1" applyBorder="1" applyAlignment="1">
      <alignment horizontal="right" wrapText="1"/>
    </xf>
    <xf numFmtId="3" fontId="0" fillId="6" borderId="0" xfId="0" applyNumberFormat="1" applyFont="1" applyFill="1" applyBorder="1"/>
    <xf numFmtId="3" fontId="0" fillId="6" borderId="88" xfId="0" applyNumberFormat="1" applyFont="1" applyFill="1" applyBorder="1"/>
    <xf numFmtId="0" fontId="43" fillId="6" borderId="91" xfId="27" applyFont="1" applyFill="1" applyBorder="1" applyAlignment="1">
      <alignment horizontal="right" wrapText="1"/>
    </xf>
    <xf numFmtId="0" fontId="43" fillId="6" borderId="16" xfId="27" applyFont="1" applyFill="1" applyBorder="1" applyAlignment="1">
      <alignment horizontal="right" wrapText="1"/>
    </xf>
    <xf numFmtId="0" fontId="43" fillId="6" borderId="92" xfId="27" applyFont="1" applyFill="1" applyBorder="1" applyAlignment="1">
      <alignment horizontal="right" wrapText="1"/>
    </xf>
    <xf numFmtId="173" fontId="0" fillId="6" borderId="25" xfId="0" applyNumberFormat="1" applyFont="1" applyFill="1" applyBorder="1"/>
    <xf numFmtId="0" fontId="0" fillId="6" borderId="82" xfId="0" applyFill="1" applyBorder="1" applyAlignment="1">
      <alignment horizontal="right"/>
    </xf>
    <xf numFmtId="0" fontId="23" fillId="6" borderId="3" xfId="30" applyFont="1" applyFill="1" applyBorder="1" applyAlignment="1">
      <alignment horizontal="right" wrapText="1"/>
    </xf>
    <xf numFmtId="165" fontId="0" fillId="6" borderId="3" xfId="1" applyNumberFormat="1" applyFont="1" applyFill="1" applyBorder="1"/>
    <xf numFmtId="165" fontId="0" fillId="6" borderId="83" xfId="1" applyNumberFormat="1" applyFont="1" applyFill="1" applyBorder="1"/>
    <xf numFmtId="0" fontId="0" fillId="6" borderId="3" xfId="0" applyFill="1" applyBorder="1"/>
    <xf numFmtId="0" fontId="0" fillId="4" borderId="86" xfId="0" applyFill="1" applyBorder="1" applyAlignment="1">
      <alignment horizontal="right"/>
    </xf>
    <xf numFmtId="0" fontId="23" fillId="4" borderId="16" xfId="30" applyFont="1" applyFill="1" applyBorder="1" applyAlignment="1">
      <alignment horizontal="right" wrapText="1"/>
    </xf>
    <xf numFmtId="3" fontId="0" fillId="4" borderId="0" xfId="0" applyNumberFormat="1" applyFill="1" applyBorder="1"/>
    <xf numFmtId="3" fontId="0" fillId="4" borderId="88" xfId="0" applyNumberFormat="1" applyFill="1" applyBorder="1"/>
    <xf numFmtId="0" fontId="23" fillId="4" borderId="91" xfId="27" applyFont="1" applyFill="1" applyBorder="1" applyAlignment="1">
      <alignment horizontal="right" wrapText="1"/>
    </xf>
    <xf numFmtId="0" fontId="23" fillId="4" borderId="16" xfId="27" applyFont="1" applyFill="1" applyBorder="1" applyAlignment="1">
      <alignment horizontal="right" wrapText="1"/>
    </xf>
    <xf numFmtId="0" fontId="23" fillId="4" borderId="92" xfId="27" applyFont="1" applyFill="1" applyBorder="1" applyAlignment="1">
      <alignment horizontal="right" wrapText="1"/>
    </xf>
    <xf numFmtId="173" fontId="0" fillId="4" borderId="25" xfId="0" applyNumberFormat="1" applyFill="1" applyBorder="1"/>
    <xf numFmtId="0" fontId="23" fillId="4" borderId="0" xfId="30" applyFont="1" applyFill="1" applyBorder="1" applyAlignment="1">
      <alignment horizontal="right" wrapText="1"/>
    </xf>
    <xf numFmtId="165" fontId="0" fillId="4" borderId="0" xfId="1" applyNumberFormat="1" applyFont="1" applyFill="1" applyBorder="1"/>
    <xf numFmtId="165" fontId="0" fillId="4" borderId="88" xfId="1" applyNumberFormat="1" applyFont="1" applyFill="1" applyBorder="1"/>
    <xf numFmtId="0" fontId="0" fillId="4" borderId="0" xfId="0" applyFill="1" applyBorder="1"/>
    <xf numFmtId="0" fontId="0" fillId="12" borderId="86" xfId="0" applyFill="1" applyBorder="1" applyAlignment="1">
      <alignment horizontal="right"/>
    </xf>
    <xf numFmtId="0" fontId="23" fillId="12" borderId="16" xfId="30" applyFont="1" applyFill="1" applyBorder="1" applyAlignment="1">
      <alignment horizontal="right" wrapText="1"/>
    </xf>
    <xf numFmtId="3" fontId="0" fillId="12" borderId="0" xfId="0" applyNumberFormat="1" applyFill="1" applyBorder="1"/>
    <xf numFmtId="3" fontId="0" fillId="12" borderId="88" xfId="0" applyNumberFormat="1" applyFill="1" applyBorder="1"/>
    <xf numFmtId="0" fontId="23" fillId="12" borderId="91" xfId="27" applyFont="1" applyFill="1" applyBorder="1" applyAlignment="1">
      <alignment horizontal="right" wrapText="1"/>
    </xf>
    <xf numFmtId="0" fontId="0" fillId="12" borderId="0" xfId="0" applyFill="1" applyBorder="1"/>
    <xf numFmtId="0" fontId="23" fillId="12" borderId="16" xfId="27" applyFont="1" applyFill="1" applyBorder="1" applyAlignment="1">
      <alignment horizontal="right" wrapText="1"/>
    </xf>
    <xf numFmtId="0" fontId="23" fillId="12" borderId="92" xfId="27" applyFont="1" applyFill="1" applyBorder="1" applyAlignment="1">
      <alignment horizontal="right" wrapText="1"/>
    </xf>
    <xf numFmtId="173" fontId="0" fillId="12" borderId="25" xfId="0" applyNumberFormat="1" applyFill="1" applyBorder="1"/>
    <xf numFmtId="0" fontId="0" fillId="12" borderId="16" xfId="0" applyFill="1" applyBorder="1"/>
    <xf numFmtId="165" fontId="0" fillId="12" borderId="84" xfId="0" applyNumberFormat="1" applyFill="1" applyBorder="1" applyAlignment="1">
      <alignment horizontal="right"/>
    </xf>
    <xf numFmtId="0" fontId="23" fillId="12" borderId="85" xfId="30" applyFont="1" applyFill="1" applyBorder="1" applyAlignment="1">
      <alignment horizontal="right" wrapText="1"/>
    </xf>
    <xf numFmtId="165" fontId="0" fillId="12" borderId="85" xfId="1" applyNumberFormat="1" applyFont="1" applyFill="1" applyBorder="1"/>
    <xf numFmtId="165" fontId="0" fillId="12" borderId="68" xfId="1" applyNumberFormat="1" applyFont="1" applyFill="1" applyBorder="1"/>
    <xf numFmtId="0" fontId="0" fillId="12" borderId="85" xfId="0" applyFill="1" applyBorder="1"/>
    <xf numFmtId="0" fontId="23" fillId="0" borderId="93" xfId="30" applyFont="1" applyBorder="1" applyAlignment="1">
      <alignment horizontal="right" wrapText="1"/>
    </xf>
    <xf numFmtId="0" fontId="23" fillId="0" borderId="94" xfId="27" applyFont="1" applyBorder="1" applyAlignment="1">
      <alignment horizontal="right" wrapText="1"/>
    </xf>
    <xf numFmtId="0" fontId="23" fillId="0" borderId="93" xfId="27" applyFont="1" applyBorder="1" applyAlignment="1">
      <alignment horizontal="right" wrapText="1"/>
    </xf>
    <xf numFmtId="0" fontId="23" fillId="0" borderId="95" xfId="27" applyFont="1" applyBorder="1" applyAlignment="1">
      <alignment horizontal="right" wrapText="1"/>
    </xf>
    <xf numFmtId="0" fontId="0" fillId="0" borderId="25" xfId="0" applyBorder="1"/>
    <xf numFmtId="0" fontId="0" fillId="0" borderId="29" xfId="0" applyBorder="1"/>
    <xf numFmtId="0" fontId="3" fillId="0" borderId="27" xfId="0" applyFont="1" applyBorder="1"/>
    <xf numFmtId="0" fontId="3" fillId="0" borderId="82" xfId="0" applyFont="1" applyBorder="1"/>
    <xf numFmtId="0" fontId="3" fillId="0" borderId="3" xfId="0" applyFont="1" applyBorder="1"/>
    <xf numFmtId="0" fontId="3" fillId="0" borderId="83" xfId="0" applyFont="1" applyBorder="1"/>
    <xf numFmtId="0" fontId="3" fillId="0" borderId="83" xfId="0" applyFont="1" applyBorder="1" applyAlignment="1">
      <alignment horizontal="center"/>
    </xf>
    <xf numFmtId="0" fontId="3" fillId="0" borderId="84" xfId="0" applyFont="1" applyBorder="1" applyAlignment="1">
      <alignment horizontal="right"/>
    </xf>
    <xf numFmtId="0" fontId="3" fillId="0" borderId="85" xfId="0" applyFont="1" applyBorder="1" applyAlignment="1">
      <alignment horizontal="right"/>
    </xf>
    <xf numFmtId="0" fontId="3" fillId="0" borderId="85" xfId="0" applyFont="1" applyBorder="1"/>
    <xf numFmtId="0" fontId="3" fillId="0" borderId="68" xfId="0" applyFont="1" applyBorder="1"/>
    <xf numFmtId="0" fontId="3" fillId="0" borderId="84" xfId="0" applyFont="1" applyBorder="1"/>
    <xf numFmtId="0" fontId="3" fillId="0" borderId="68" xfId="0" applyFont="1" applyBorder="1" applyAlignment="1">
      <alignment horizontal="center"/>
    </xf>
    <xf numFmtId="173" fontId="3" fillId="0" borderId="24" xfId="0" applyNumberFormat="1" applyFont="1" applyBorder="1"/>
    <xf numFmtId="173" fontId="3" fillId="0" borderId="25" xfId="0" applyNumberFormat="1" applyFont="1" applyBorder="1"/>
    <xf numFmtId="173" fontId="3" fillId="6" borderId="83" xfId="0" applyNumberFormat="1" applyFont="1" applyFill="1" applyBorder="1"/>
    <xf numFmtId="173" fontId="3" fillId="4" borderId="88" xfId="0" applyNumberFormat="1" applyFont="1" applyFill="1" applyBorder="1"/>
    <xf numFmtId="173" fontId="3" fillId="12" borderId="68" xfId="0" applyNumberFormat="1" applyFont="1" applyFill="1" applyBorder="1"/>
    <xf numFmtId="165" fontId="3" fillId="0" borderId="88" xfId="1" applyNumberFormat="1" applyFont="1" applyBorder="1"/>
    <xf numFmtId="165" fontId="0" fillId="0" borderId="88" xfId="0" applyNumberFormat="1" applyBorder="1"/>
    <xf numFmtId="10" fontId="3" fillId="0" borderId="68" xfId="2" applyNumberFormat="1" applyFont="1" applyBorder="1"/>
    <xf numFmtId="165" fontId="3" fillId="0" borderId="68" xfId="0" applyNumberFormat="1" applyFont="1" applyBorder="1"/>
    <xf numFmtId="165" fontId="3" fillId="0" borderId="68" xfId="1" applyNumberFormat="1" applyFont="1" applyBorder="1"/>
    <xf numFmtId="165" fontId="0" fillId="0" borderId="83" xfId="0" applyNumberFormat="1" applyBorder="1"/>
    <xf numFmtId="0" fontId="3" fillId="13" borderId="0" xfId="0" applyFont="1" applyFill="1" applyBorder="1"/>
    <xf numFmtId="43" fontId="3" fillId="13" borderId="88" xfId="1" applyNumberFormat="1" applyFont="1" applyFill="1" applyBorder="1"/>
    <xf numFmtId="165" fontId="0" fillId="0" borderId="85" xfId="0" applyNumberFormat="1" applyBorder="1"/>
    <xf numFmtId="167" fontId="0" fillId="0" borderId="85" xfId="0" applyNumberFormat="1" applyBorder="1"/>
    <xf numFmtId="165" fontId="0" fillId="0" borderId="0" xfId="0" applyNumberFormat="1" applyBorder="1"/>
    <xf numFmtId="167" fontId="0" fillId="0" borderId="0" xfId="0" applyNumberFormat="1" applyBorder="1"/>
    <xf numFmtId="167" fontId="0" fillId="0" borderId="88" xfId="0" applyNumberFormat="1" applyBorder="1"/>
    <xf numFmtId="167" fontId="0" fillId="0" borderId="68" xfId="0" applyNumberFormat="1" applyBorder="1"/>
    <xf numFmtId="165" fontId="0" fillId="0" borderId="28" xfId="0" applyNumberFormat="1" applyBorder="1"/>
    <xf numFmtId="167" fontId="0" fillId="0" borderId="28" xfId="0" applyNumberFormat="1" applyBorder="1"/>
    <xf numFmtId="167" fontId="0" fillId="0" borderId="29" xfId="0" applyNumberFormat="1" applyBorder="1"/>
    <xf numFmtId="3" fontId="47" fillId="14" borderId="18" xfId="0" applyNumberFormat="1" applyFont="1" applyFill="1" applyBorder="1" applyAlignment="1">
      <alignment horizontal="center"/>
    </xf>
    <xf numFmtId="0" fontId="47" fillId="14" borderId="18" xfId="0" applyFont="1" applyFill="1" applyBorder="1" applyAlignment="1">
      <alignment horizontal="center"/>
    </xf>
    <xf numFmtId="0" fontId="9" fillId="0" borderId="26" xfId="0" applyFont="1" applyBorder="1"/>
    <xf numFmtId="0" fontId="9" fillId="0" borderId="85" xfId="0" applyFont="1" applyBorder="1"/>
    <xf numFmtId="0" fontId="44" fillId="0" borderId="96" xfId="31" applyFont="1" applyBorder="1" applyAlignment="1">
      <alignment horizontal="center" wrapText="1"/>
    </xf>
    <xf numFmtId="0" fontId="44" fillId="0" borderId="97" xfId="31" applyFont="1" applyBorder="1" applyAlignment="1">
      <alignment horizontal="center" wrapText="1"/>
    </xf>
    <xf numFmtId="0" fontId="44" fillId="0" borderId="98" xfId="31" applyFont="1" applyBorder="1" applyAlignment="1">
      <alignment horizontal="center" wrapText="1"/>
    </xf>
    <xf numFmtId="0" fontId="45" fillId="0" borderId="96" xfId="0" quotePrefix="1" applyFont="1" applyBorder="1"/>
    <xf numFmtId="0" fontId="45" fillId="0" borderId="97" xfId="0" quotePrefix="1" applyFont="1" applyBorder="1"/>
    <xf numFmtId="0" fontId="45" fillId="0" borderId="98" xfId="0" quotePrefix="1" applyFont="1" applyBorder="1"/>
    <xf numFmtId="2" fontId="0" fillId="0" borderId="85" xfId="0" applyNumberFormat="1" applyBorder="1"/>
    <xf numFmtId="2" fontId="0" fillId="0" borderId="3" xfId="0" applyNumberFormat="1" applyBorder="1"/>
    <xf numFmtId="0" fontId="0" fillId="15" borderId="82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84" xfId="0" applyFill="1" applyBorder="1" applyAlignment="1">
      <alignment horizontal="center"/>
    </xf>
    <xf numFmtId="0" fontId="0" fillId="15" borderId="85" xfId="0" applyFill="1" applyBorder="1" applyAlignment="1">
      <alignment horizontal="center"/>
    </xf>
    <xf numFmtId="0" fontId="3" fillId="15" borderId="0" xfId="0" applyFont="1" applyFill="1" applyAlignment="1">
      <alignment horizontal="center" wrapText="1"/>
    </xf>
    <xf numFmtId="0" fontId="48" fillId="14" borderId="0" xfId="0" applyFont="1" applyFill="1" applyAlignment="1">
      <alignment horizontal="center" wrapText="1"/>
    </xf>
    <xf numFmtId="178" fontId="0" fillId="0" borderId="0" xfId="0" applyNumberFormat="1"/>
    <xf numFmtId="0" fontId="49" fillId="0" borderId="0" xfId="0" applyFont="1"/>
    <xf numFmtId="179" fontId="0" fillId="0" borderId="0" xfId="2" applyNumberFormat="1" applyFont="1"/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77" fontId="0" fillId="0" borderId="85" xfId="0" applyNumberFormat="1" applyBorder="1"/>
    <xf numFmtId="177" fontId="3" fillId="0" borderId="85" xfId="0" applyNumberFormat="1" applyFont="1" applyBorder="1" applyAlignment="1">
      <alignment horizontal="center"/>
    </xf>
    <xf numFmtId="172" fontId="0" fillId="0" borderId="85" xfId="0" applyNumberFormat="1" applyBorder="1"/>
    <xf numFmtId="0" fontId="3" fillId="15" borderId="0" xfId="0" applyFont="1" applyFill="1" applyAlignment="1">
      <alignment horizontal="right" wrapText="1"/>
    </xf>
    <xf numFmtId="166" fontId="0" fillId="0" borderId="0" xfId="15" applyNumberFormat="1" applyFont="1"/>
    <xf numFmtId="177" fontId="3" fillId="0" borderId="0" xfId="0" applyNumberFormat="1" applyFont="1" applyBorder="1" applyAlignment="1">
      <alignment horizontal="center"/>
    </xf>
    <xf numFmtId="172" fontId="0" fillId="0" borderId="0" xfId="0" applyNumberFormat="1" applyBorder="1"/>
    <xf numFmtId="172" fontId="3" fillId="0" borderId="85" xfId="0" applyNumberFormat="1" applyFont="1" applyBorder="1"/>
    <xf numFmtId="0" fontId="3" fillId="0" borderId="0" xfId="0" applyFont="1" applyFill="1" applyBorder="1" applyAlignment="1">
      <alignment horizontal="right"/>
    </xf>
    <xf numFmtId="172" fontId="3" fillId="0" borderId="0" xfId="0" applyNumberFormat="1" applyFont="1" applyBorder="1"/>
    <xf numFmtId="166" fontId="3" fillId="0" borderId="0" xfId="15" applyNumberFormat="1" applyFont="1" applyBorder="1"/>
    <xf numFmtId="0" fontId="3" fillId="0" borderId="0" xfId="0" applyFont="1" applyBorder="1" applyAlignment="1">
      <alignment horizontal="right"/>
    </xf>
    <xf numFmtId="0" fontId="48" fillId="0" borderId="0" xfId="0" applyFont="1" applyFill="1" applyAlignment="1">
      <alignment horizontal="center" wrapText="1"/>
    </xf>
    <xf numFmtId="0" fontId="48" fillId="14" borderId="0" xfId="0" applyFont="1" applyFill="1" applyAlignment="1">
      <alignment horizontal="center" wrapText="1"/>
    </xf>
    <xf numFmtId="172" fontId="21" fillId="6" borderId="0" xfId="0" applyNumberFormat="1" applyFont="1" applyFill="1"/>
    <xf numFmtId="8" fontId="20" fillId="2" borderId="9" xfId="0" applyNumberFormat="1" applyFont="1" applyFill="1" applyBorder="1"/>
    <xf numFmtId="0" fontId="9" fillId="0" borderId="0" xfId="0" applyFont="1"/>
    <xf numFmtId="43" fontId="0" fillId="0" borderId="0" xfId="0" applyNumberFormat="1"/>
    <xf numFmtId="0" fontId="23" fillId="0" borderId="0" xfId="30" applyFont="1" applyFill="1" applyBorder="1" applyAlignment="1">
      <alignment horizontal="left"/>
    </xf>
    <xf numFmtId="0" fontId="23" fillId="0" borderId="81" xfId="30" applyFont="1" applyFill="1" applyBorder="1" applyAlignment="1">
      <alignment horizontal="left" wrapText="1"/>
    </xf>
    <xf numFmtId="165" fontId="0" fillId="0" borderId="0" xfId="2" applyNumberFormat="1" applyFont="1"/>
    <xf numFmtId="0" fontId="3" fillId="0" borderId="83" xfId="0" applyFont="1" applyBorder="1" applyAlignment="1">
      <alignment horizontal="center"/>
    </xf>
    <xf numFmtId="0" fontId="48" fillId="14" borderId="0" xfId="0" applyFont="1" applyFill="1" applyAlignment="1">
      <alignment horizontal="center" wrapText="1"/>
    </xf>
    <xf numFmtId="0" fontId="47" fillId="14" borderId="88" xfId="0" applyFont="1" applyFill="1" applyBorder="1" applyAlignment="1">
      <alignment horizontal="center"/>
    </xf>
    <xf numFmtId="1" fontId="0" fillId="0" borderId="0" xfId="0" applyNumberFormat="1" applyFill="1"/>
    <xf numFmtId="0" fontId="41" fillId="0" borderId="0" xfId="0" applyFont="1"/>
    <xf numFmtId="0" fontId="0" fillId="0" borderId="0" xfId="0" applyAlignment="1">
      <alignment wrapText="1"/>
    </xf>
    <xf numFmtId="0" fontId="23" fillId="0" borderId="85" xfId="32" applyFont="1" applyBorder="1" applyAlignment="1">
      <alignment horizontal="center"/>
    </xf>
    <xf numFmtId="0" fontId="51" fillId="10" borderId="84" xfId="32" applyFont="1" applyFill="1" applyBorder="1" applyAlignment="1">
      <alignment horizontal="center" wrapText="1"/>
    </xf>
    <xf numFmtId="0" fontId="51" fillId="10" borderId="99" xfId="32" applyFont="1" applyFill="1" applyBorder="1" applyAlignment="1">
      <alignment horizontal="center" wrapText="1"/>
    </xf>
    <xf numFmtId="0" fontId="41" fillId="0" borderId="85" xfId="0" applyFont="1" applyBorder="1" applyAlignment="1">
      <alignment horizontal="center"/>
    </xf>
    <xf numFmtId="0" fontId="23" fillId="0" borderId="100" xfId="33" applyFont="1" applyBorder="1" applyAlignment="1">
      <alignment wrapText="1"/>
    </xf>
    <xf numFmtId="3" fontId="44" fillId="10" borderId="101" xfId="33" applyNumberFormat="1" applyFont="1" applyFill="1" applyBorder="1" applyAlignment="1">
      <alignment horizontal="right" wrapText="1"/>
    </xf>
    <xf numFmtId="3" fontId="44" fillId="10" borderId="102" xfId="33" applyNumberFormat="1" applyFont="1" applyFill="1" applyBorder="1" applyAlignment="1">
      <alignment horizontal="right" wrapText="1"/>
    </xf>
    <xf numFmtId="3" fontId="44" fillId="10" borderId="91" xfId="33" applyNumberFormat="1" applyFont="1" applyFill="1" applyBorder="1" applyAlignment="1">
      <alignment horizontal="right" wrapText="1"/>
    </xf>
    <xf numFmtId="3" fontId="44" fillId="10" borderId="92" xfId="33" applyNumberFormat="1" applyFont="1" applyFill="1" applyBorder="1" applyAlignment="1">
      <alignment horizontal="right" wrapText="1"/>
    </xf>
    <xf numFmtId="0" fontId="23" fillId="0" borderId="103" xfId="33" applyFont="1" applyBorder="1" applyAlignment="1">
      <alignment wrapText="1"/>
    </xf>
    <xf numFmtId="3" fontId="44" fillId="10" borderId="104" xfId="33" applyNumberFormat="1" applyFont="1" applyFill="1" applyBorder="1" applyAlignment="1">
      <alignment horizontal="right" wrapText="1"/>
    </xf>
    <xf numFmtId="3" fontId="44" fillId="10" borderId="105" xfId="33" applyNumberFormat="1" applyFont="1" applyFill="1" applyBorder="1" applyAlignment="1">
      <alignment horizontal="right" wrapText="1"/>
    </xf>
    <xf numFmtId="166" fontId="0" fillId="0" borderId="85" xfId="15" applyNumberFormat="1" applyFont="1" applyBorder="1"/>
    <xf numFmtId="0" fontId="0" fillId="0" borderId="28" xfId="0" applyBorder="1" applyAlignment="1">
      <alignment wrapText="1"/>
    </xf>
    <xf numFmtId="3" fontId="0" fillId="10" borderId="27" xfId="0" applyNumberFormat="1" applyFill="1" applyBorder="1"/>
    <xf numFmtId="3" fontId="0" fillId="10" borderId="29" xfId="0" applyNumberFormat="1" applyFill="1" applyBorder="1"/>
    <xf numFmtId="0" fontId="45" fillId="0" borderId="0" xfId="0" applyFont="1" applyAlignment="1">
      <alignment horizontal="left" wrapText="1"/>
    </xf>
    <xf numFmtId="44" fontId="0" fillId="0" borderId="0" xfId="15" applyFont="1"/>
    <xf numFmtId="171" fontId="3" fillId="0" borderId="0" xfId="0" applyNumberFormat="1" applyFont="1" applyAlignment="1">
      <alignment horizontal="right"/>
    </xf>
    <xf numFmtId="171" fontId="3" fillId="0" borderId="0" xfId="0" applyNumberFormat="1" applyFont="1"/>
    <xf numFmtId="44" fontId="3" fillId="0" borderId="0" xfId="15" applyFont="1"/>
    <xf numFmtId="44" fontId="3" fillId="0" borderId="0" xfId="15" applyFont="1" applyAlignment="1">
      <alignment horizontal="right"/>
    </xf>
    <xf numFmtId="165" fontId="0" fillId="0" borderId="85" xfId="1" applyNumberFormat="1" applyFont="1" applyBorder="1"/>
    <xf numFmtId="43" fontId="0" fillId="0" borderId="85" xfId="1" applyFont="1" applyBorder="1"/>
    <xf numFmtId="173" fontId="0" fillId="0" borderId="85" xfId="0" applyNumberFormat="1" applyBorder="1"/>
    <xf numFmtId="178" fontId="0" fillId="0" borderId="85" xfId="0" applyNumberFormat="1" applyBorder="1"/>
    <xf numFmtId="10" fontId="0" fillId="0" borderId="85" xfId="2" applyNumberFormat="1" applyFont="1" applyBorder="1"/>
    <xf numFmtId="179" fontId="0" fillId="0" borderId="85" xfId="2" applyNumberFormat="1" applyFont="1" applyBorder="1"/>
    <xf numFmtId="171" fontId="0" fillId="0" borderId="85" xfId="15" applyNumberFormat="1" applyFont="1" applyBorder="1"/>
    <xf numFmtId="44" fontId="0" fillId="0" borderId="85" xfId="15" applyFont="1" applyBorder="1"/>
    <xf numFmtId="165" fontId="3" fillId="0" borderId="0" xfId="1" applyNumberFormat="1" applyFont="1"/>
    <xf numFmtId="10" fontId="3" fillId="0" borderId="0" xfId="2" applyNumberFormat="1" applyFont="1"/>
    <xf numFmtId="179" fontId="3" fillId="0" borderId="0" xfId="2" applyNumberFormat="1" applyFont="1"/>
    <xf numFmtId="0" fontId="3" fillId="0" borderId="83" xfId="0" applyFont="1" applyBorder="1" applyAlignment="1">
      <alignment horizontal="center"/>
    </xf>
    <xf numFmtId="10" fontId="9" fillId="0" borderId="0" xfId="2" applyNumberFormat="1" applyFont="1" applyAlignment="1">
      <alignment horizontal="right"/>
    </xf>
    <xf numFmtId="1" fontId="9" fillId="0" borderId="0" xfId="2" applyNumberFormat="1" applyFont="1"/>
    <xf numFmtId="9" fontId="0" fillId="8" borderId="0" xfId="2" applyFont="1" applyFill="1"/>
    <xf numFmtId="9" fontId="9" fillId="0" borderId="0" xfId="2" applyFont="1"/>
    <xf numFmtId="180" fontId="0" fillId="0" borderId="85" xfId="1" applyNumberFormat="1" applyFont="1" applyBorder="1"/>
    <xf numFmtId="0" fontId="3" fillId="0" borderId="86" xfId="0" applyFont="1" applyFill="1" applyBorder="1"/>
    <xf numFmtId="177" fontId="3" fillId="0" borderId="0" xfId="0" applyNumberFormat="1" applyFont="1" applyBorder="1"/>
    <xf numFmtId="177" fontId="0" fillId="0" borderId="0" xfId="0" applyNumberFormat="1" applyBorder="1"/>
    <xf numFmtId="177" fontId="3" fillId="0" borderId="88" xfId="0" applyNumberFormat="1" applyFont="1" applyBorder="1"/>
    <xf numFmtId="0" fontId="3" fillId="0" borderId="84" xfId="0" applyFont="1" applyFill="1" applyBorder="1"/>
    <xf numFmtId="177" fontId="3" fillId="0" borderId="88" xfId="0" applyNumberFormat="1" applyFont="1" applyBorder="1" applyAlignment="1">
      <alignment horizontal="center"/>
    </xf>
    <xf numFmtId="0" fontId="3" fillId="0" borderId="86" xfId="0" applyFont="1" applyBorder="1" applyAlignment="1">
      <alignment horizontal="right"/>
    </xf>
    <xf numFmtId="180" fontId="0" fillId="0" borderId="0" xfId="1" applyNumberFormat="1" applyFont="1" applyBorder="1"/>
    <xf numFmtId="44" fontId="0" fillId="0" borderId="88" xfId="15" applyFont="1" applyBorder="1"/>
    <xf numFmtId="44" fontId="0" fillId="0" borderId="99" xfId="15" applyFont="1" applyBorder="1"/>
    <xf numFmtId="177" fontId="3" fillId="0" borderId="85" xfId="0" applyNumberFormat="1" applyFont="1" applyBorder="1"/>
    <xf numFmtId="44" fontId="3" fillId="0" borderId="99" xfId="15" applyFont="1" applyBorder="1"/>
    <xf numFmtId="177" fontId="3" fillId="0" borderId="99" xfId="0" applyNumberFormat="1" applyFont="1" applyBorder="1" applyAlignment="1">
      <alignment horizontal="center"/>
    </xf>
    <xf numFmtId="0" fontId="3" fillId="0" borderId="82" xfId="0" applyFont="1" applyBorder="1" applyAlignment="1">
      <alignment horizontal="right"/>
    </xf>
    <xf numFmtId="177" fontId="0" fillId="0" borderId="3" xfId="0" applyNumberFormat="1" applyBorder="1"/>
    <xf numFmtId="172" fontId="0" fillId="0" borderId="3" xfId="0" applyNumberFormat="1" applyBorder="1"/>
    <xf numFmtId="180" fontId="0" fillId="0" borderId="3" xfId="1" applyNumberFormat="1" applyFont="1" applyBorder="1"/>
    <xf numFmtId="44" fontId="0" fillId="0" borderId="83" xfId="15" applyFont="1" applyBorder="1"/>
    <xf numFmtId="177" fontId="3" fillId="0" borderId="0" xfId="0" applyNumberFormat="1" applyFont="1" applyFill="1" applyBorder="1" applyAlignment="1">
      <alignment horizontal="center"/>
    </xf>
    <xf numFmtId="2" fontId="3" fillId="0" borderId="88" xfId="0" applyNumberFormat="1" applyFont="1" applyBorder="1"/>
    <xf numFmtId="0" fontId="3" fillId="0" borderId="86" xfId="0" applyFont="1" applyFill="1" applyBorder="1" applyAlignment="1">
      <alignment horizontal="right"/>
    </xf>
    <xf numFmtId="44" fontId="0" fillId="0" borderId="88" xfId="0" applyNumberFormat="1" applyBorder="1"/>
    <xf numFmtId="0" fontId="3" fillId="0" borderId="84" xfId="0" applyFont="1" applyFill="1" applyBorder="1" applyAlignment="1">
      <alignment horizontal="right"/>
    </xf>
    <xf numFmtId="177" fontId="3" fillId="0" borderId="85" xfId="0" applyNumberFormat="1" applyFont="1" applyFill="1" applyBorder="1" applyAlignment="1">
      <alignment horizontal="center"/>
    </xf>
    <xf numFmtId="44" fontId="0" fillId="0" borderId="83" xfId="0" applyNumberFormat="1" applyBorder="1"/>
    <xf numFmtId="177" fontId="0" fillId="0" borderId="27" xfId="0" applyNumberFormat="1" applyBorder="1"/>
    <xf numFmtId="0" fontId="3" fillId="0" borderId="28" xfId="0" applyFont="1" applyBorder="1" applyAlignment="1">
      <alignment horizontal="right"/>
    </xf>
    <xf numFmtId="166" fontId="0" fillId="0" borderId="29" xfId="15" applyNumberFormat="1" applyFont="1" applyBorder="1"/>
    <xf numFmtId="44" fontId="0" fillId="0" borderId="99" xfId="0" applyNumberFormat="1" applyBorder="1"/>
    <xf numFmtId="0" fontId="3" fillId="0" borderId="82" xfId="0" applyFont="1" applyFill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0" fillId="0" borderId="84" xfId="0" applyBorder="1" applyAlignment="1">
      <alignment horizontal="left"/>
    </xf>
    <xf numFmtId="2" fontId="0" fillId="0" borderId="85" xfId="0" applyNumberFormat="1" applyBorder="1" applyAlignment="1">
      <alignment horizontal="right" indent="1"/>
    </xf>
    <xf numFmtId="44" fontId="0" fillId="0" borderId="85" xfId="0" applyNumberFormat="1" applyBorder="1"/>
    <xf numFmtId="2" fontId="3" fillId="0" borderId="0" xfId="0" applyNumberFormat="1" applyFont="1" applyBorder="1"/>
    <xf numFmtId="0" fontId="3" fillId="0" borderId="88" xfId="0" applyFont="1" applyBorder="1" applyAlignment="1">
      <alignment horizontal="center"/>
    </xf>
    <xf numFmtId="177" fontId="3" fillId="0" borderId="99" xfId="0" applyNumberFormat="1" applyFont="1" applyFill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right" indent="1"/>
    </xf>
    <xf numFmtId="2" fontId="3" fillId="0" borderId="85" xfId="0" applyNumberFormat="1" applyFont="1" applyBorder="1"/>
    <xf numFmtId="0" fontId="48" fillId="16" borderId="27" xfId="0" applyFont="1" applyFill="1" applyBorder="1" applyAlignment="1">
      <alignment horizontal="center" wrapText="1"/>
    </xf>
    <xf numFmtId="0" fontId="50" fillId="14" borderId="27" xfId="0" applyFont="1" applyFill="1" applyBorder="1" applyAlignment="1">
      <alignment horizontal="left" wrapText="1"/>
    </xf>
    <xf numFmtId="0" fontId="48" fillId="14" borderId="28" xfId="0" applyFont="1" applyFill="1" applyBorder="1" applyAlignment="1">
      <alignment horizontal="center" wrapText="1"/>
    </xf>
    <xf numFmtId="0" fontId="48" fillId="14" borderId="29" xfId="0" applyFont="1" applyFill="1" applyBorder="1" applyAlignment="1">
      <alignment horizontal="center" wrapText="1"/>
    </xf>
    <xf numFmtId="2" fontId="3" fillId="0" borderId="3" xfId="0" applyNumberFormat="1" applyFont="1" applyBorder="1"/>
    <xf numFmtId="0" fontId="3" fillId="0" borderId="27" xfId="0" applyFont="1" applyFill="1" applyBorder="1" applyAlignment="1">
      <alignment horizontal="right"/>
    </xf>
    <xf numFmtId="2" fontId="3" fillId="0" borderId="28" xfId="0" applyNumberFormat="1" applyFont="1" applyBorder="1"/>
    <xf numFmtId="172" fontId="3" fillId="0" borderId="28" xfId="0" applyNumberFormat="1" applyFont="1" applyBorder="1"/>
    <xf numFmtId="44" fontId="3" fillId="0" borderId="29" xfId="15" applyFont="1" applyBorder="1"/>
    <xf numFmtId="0" fontId="3" fillId="0" borderId="82" xfId="0" applyFont="1" applyFill="1" applyBorder="1" applyAlignment="1">
      <alignment horizontal="right"/>
    </xf>
    <xf numFmtId="172" fontId="3" fillId="0" borderId="3" xfId="0" applyNumberFormat="1" applyFont="1" applyBorder="1"/>
    <xf numFmtId="44" fontId="3" fillId="0" borderId="83" xfId="15" applyFont="1" applyBorder="1"/>
    <xf numFmtId="2" fontId="3" fillId="0" borderId="82" xfId="0" applyNumberFormat="1" applyFont="1" applyBorder="1"/>
    <xf numFmtId="0" fontId="0" fillId="0" borderId="27" xfId="0" applyBorder="1"/>
    <xf numFmtId="0" fontId="9" fillId="0" borderId="0" xfId="0" applyFont="1" applyBorder="1"/>
    <xf numFmtId="0" fontId="9" fillId="0" borderId="6" xfId="0" applyFont="1" applyFill="1" applyBorder="1"/>
    <xf numFmtId="0" fontId="9" fillId="0" borderId="14" xfId="0" applyFont="1" applyFill="1" applyBorder="1"/>
    <xf numFmtId="0" fontId="9" fillId="0" borderId="8" xfId="0" applyFont="1" applyFill="1" applyBorder="1"/>
    <xf numFmtId="0" fontId="9" fillId="0" borderId="2" xfId="0" applyFont="1" applyBorder="1"/>
    <xf numFmtId="0" fontId="9" fillId="0" borderId="30" xfId="0" applyFont="1" applyBorder="1"/>
    <xf numFmtId="0" fontId="9" fillId="0" borderId="33" xfId="0" applyFont="1" applyBorder="1"/>
    <xf numFmtId="0" fontId="9" fillId="0" borderId="34" xfId="0" applyFont="1" applyBorder="1"/>
    <xf numFmtId="169" fontId="20" fillId="6" borderId="25" xfId="0" applyNumberFormat="1" applyFont="1" applyFill="1" applyBorder="1" applyAlignment="1">
      <alignment vertical="center"/>
    </xf>
    <xf numFmtId="2" fontId="20" fillId="6" borderId="25" xfId="0" applyNumberFormat="1" applyFont="1" applyFill="1" applyBorder="1" applyAlignment="1">
      <alignment horizontal="right" vertical="center"/>
    </xf>
    <xf numFmtId="8" fontId="20" fillId="6" borderId="26" xfId="0" applyNumberFormat="1" applyFont="1" applyFill="1" applyBorder="1"/>
    <xf numFmtId="167" fontId="20" fillId="6" borderId="24" xfId="0" applyNumberFormat="1" applyFont="1" applyFill="1" applyBorder="1" applyAlignment="1">
      <alignment horizontal="right" vertical="center"/>
    </xf>
    <xf numFmtId="167" fontId="20" fillId="6" borderId="46" xfId="0" applyNumberFormat="1" applyFont="1" applyFill="1" applyBorder="1" applyAlignment="1">
      <alignment vertical="center"/>
    </xf>
    <xf numFmtId="168" fontId="20" fillId="6" borderId="18" xfId="0" applyNumberFormat="1" applyFont="1" applyFill="1" applyBorder="1" applyAlignment="1">
      <alignment vertical="center"/>
    </xf>
    <xf numFmtId="166" fontId="20" fillId="6" borderId="20" xfId="0" applyNumberFormat="1" applyFont="1" applyFill="1" applyBorder="1" applyAlignment="1">
      <alignment vertical="center"/>
    </xf>
    <xf numFmtId="166" fontId="20" fillId="6" borderId="7" xfId="0" applyNumberFormat="1" applyFont="1" applyFill="1" applyBorder="1" applyAlignment="1">
      <alignment vertical="center"/>
    </xf>
    <xf numFmtId="166" fontId="20" fillId="6" borderId="21" xfId="0" applyNumberFormat="1" applyFont="1" applyFill="1" applyBorder="1" applyAlignment="1">
      <alignment vertical="center"/>
    </xf>
    <xf numFmtId="166" fontId="20" fillId="6" borderId="9" xfId="0" applyNumberFormat="1" applyFont="1" applyFill="1" applyBorder="1" applyAlignment="1">
      <alignment vertical="center"/>
    </xf>
    <xf numFmtId="166" fontId="27" fillId="6" borderId="7" xfId="0" applyNumberFormat="1" applyFont="1" applyFill="1" applyBorder="1" applyAlignment="1">
      <alignment vertical="center"/>
    </xf>
    <xf numFmtId="0" fontId="3" fillId="6" borderId="35" xfId="0" applyFont="1" applyFill="1" applyBorder="1" applyAlignment="1">
      <alignment vertical="center"/>
    </xf>
    <xf numFmtId="166" fontId="20" fillId="6" borderId="44" xfId="0" applyNumberFormat="1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2" fontId="20" fillId="6" borderId="11" xfId="0" applyNumberFormat="1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165" fontId="20" fillId="6" borderId="8" xfId="0" applyNumberFormat="1" applyFont="1" applyFill="1" applyBorder="1" applyAlignment="1">
      <alignment vertical="center"/>
    </xf>
    <xf numFmtId="0" fontId="20" fillId="6" borderId="9" xfId="0" applyFont="1" applyFill="1" applyBorder="1" applyAlignment="1">
      <alignment vertical="center"/>
    </xf>
    <xf numFmtId="0" fontId="9" fillId="6" borderId="9" xfId="0" applyFont="1" applyFill="1" applyBorder="1" applyAlignment="1">
      <alignment vertical="center"/>
    </xf>
    <xf numFmtId="0" fontId="21" fillId="6" borderId="35" xfId="0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0" fontId="21" fillId="6" borderId="2" xfId="0" applyFont="1" applyFill="1" applyBorder="1" applyAlignment="1">
      <alignment vertical="center"/>
    </xf>
    <xf numFmtId="0" fontId="21" fillId="6" borderId="9" xfId="0" applyFont="1" applyFill="1" applyBorder="1" applyAlignment="1">
      <alignment vertical="center"/>
    </xf>
    <xf numFmtId="166" fontId="20" fillId="6" borderId="39" xfId="15" applyNumberFormat="1" applyFont="1" applyFill="1" applyBorder="1" applyAlignment="1">
      <alignment vertical="center"/>
    </xf>
    <xf numFmtId="0" fontId="9" fillId="6" borderId="37" xfId="0" applyFont="1" applyFill="1" applyBorder="1" applyAlignment="1">
      <alignment horizontal="right" vertical="center"/>
    </xf>
    <xf numFmtId="0" fontId="9" fillId="6" borderId="38" xfId="0" applyFont="1" applyFill="1" applyBorder="1" applyAlignment="1">
      <alignment horizontal="right" vertical="center"/>
    </xf>
    <xf numFmtId="2" fontId="20" fillId="6" borderId="27" xfId="0" applyNumberFormat="1" applyFont="1" applyFill="1" applyBorder="1" applyAlignment="1">
      <alignment vertical="center"/>
    </xf>
    <xf numFmtId="0" fontId="20" fillId="6" borderId="29" xfId="0" applyFont="1" applyFill="1" applyBorder="1" applyAlignment="1">
      <alignment vertical="center"/>
    </xf>
    <xf numFmtId="0" fontId="20" fillId="6" borderId="27" xfId="0" applyFont="1" applyFill="1" applyBorder="1" applyAlignment="1">
      <alignment vertical="center"/>
    </xf>
    <xf numFmtId="0" fontId="3" fillId="6" borderId="48" xfId="0" applyFont="1" applyFill="1" applyBorder="1" applyAlignment="1">
      <alignment vertical="center"/>
    </xf>
    <xf numFmtId="167" fontId="20" fillId="6" borderId="25" xfId="0" applyNumberFormat="1" applyFont="1" applyFill="1" applyBorder="1" applyAlignment="1">
      <alignment horizontal="right" vertical="center"/>
    </xf>
    <xf numFmtId="167" fontId="20" fillId="6" borderId="26" xfId="0" applyNumberFormat="1" applyFont="1" applyFill="1" applyBorder="1" applyAlignment="1">
      <alignment horizontal="right" vertical="center"/>
    </xf>
    <xf numFmtId="167" fontId="20" fillId="6" borderId="3" xfId="0" applyNumberFormat="1" applyFont="1" applyFill="1" applyBorder="1" applyAlignment="1">
      <alignment vertical="center"/>
    </xf>
    <xf numFmtId="167" fontId="20" fillId="6" borderId="0" xfId="0" applyNumberFormat="1" applyFont="1" applyFill="1" applyBorder="1" applyAlignment="1">
      <alignment vertical="center"/>
    </xf>
    <xf numFmtId="167" fontId="20" fillId="6" borderId="17" xfId="0" applyNumberFormat="1" applyFont="1" applyFill="1" applyBorder="1" applyAlignment="1">
      <alignment vertical="center"/>
    </xf>
    <xf numFmtId="165" fontId="27" fillId="6" borderId="8" xfId="1" applyNumberFormat="1" applyFont="1" applyFill="1" applyBorder="1" applyAlignment="1">
      <alignment vertical="center"/>
    </xf>
    <xf numFmtId="167" fontId="20" fillId="6" borderId="9" xfId="0" applyNumberFormat="1" applyFont="1" applyFill="1" applyBorder="1" applyAlignment="1">
      <alignment vertical="center"/>
    </xf>
    <xf numFmtId="1" fontId="20" fillId="6" borderId="49" xfId="0" applyNumberFormat="1" applyFont="1" applyFill="1" applyBorder="1" applyAlignment="1">
      <alignment vertical="center"/>
    </xf>
    <xf numFmtId="167" fontId="20" fillId="6" borderId="2" xfId="0" applyNumberFormat="1" applyFont="1" applyFill="1" applyBorder="1" applyAlignment="1">
      <alignment vertical="center"/>
    </xf>
    <xf numFmtId="167" fontId="20" fillId="6" borderId="58" xfId="0" applyNumberFormat="1" applyFont="1" applyFill="1" applyBorder="1" applyAlignment="1">
      <alignment vertical="center"/>
    </xf>
    <xf numFmtId="0" fontId="52" fillId="0" borderId="0" xfId="0" applyFont="1"/>
    <xf numFmtId="43" fontId="20" fillId="6" borderId="51" xfId="0" applyNumberFormat="1" applyFont="1" applyFill="1" applyBorder="1" applyAlignment="1">
      <alignment vertical="top"/>
    </xf>
    <xf numFmtId="43" fontId="20" fillId="6" borderId="55" xfId="0" applyNumberFormat="1" applyFont="1" applyFill="1" applyBorder="1" applyAlignment="1">
      <alignment vertical="top"/>
    </xf>
    <xf numFmtId="43" fontId="20" fillId="6" borderId="57" xfId="0" applyNumberFormat="1" applyFont="1" applyFill="1" applyBorder="1" applyAlignment="1">
      <alignment vertical="top"/>
    </xf>
    <xf numFmtId="43" fontId="20" fillId="6" borderId="58" xfId="0" applyNumberFormat="1" applyFont="1" applyFill="1" applyBorder="1" applyAlignment="1">
      <alignment vertical="top"/>
    </xf>
    <xf numFmtId="0" fontId="3" fillId="0" borderId="0" xfId="0" applyFont="1" applyBorder="1" applyAlignment="1">
      <alignment horizontal="left"/>
    </xf>
    <xf numFmtId="166" fontId="3" fillId="0" borderId="88" xfId="15" applyNumberFormat="1" applyFont="1" applyBorder="1"/>
    <xf numFmtId="0" fontId="9" fillId="0" borderId="3" xfId="0" applyFont="1" applyBorder="1" applyAlignment="1">
      <alignment horizontal="right"/>
    </xf>
    <xf numFmtId="0" fontId="9" fillId="0" borderId="82" xfId="0" applyFont="1" applyBorder="1"/>
    <xf numFmtId="172" fontId="9" fillId="0" borderId="86" xfId="0" applyNumberFormat="1" applyFont="1" applyBorder="1"/>
    <xf numFmtId="172" fontId="9" fillId="0" borderId="86" xfId="0" applyNumberFormat="1" applyFont="1" applyFill="1" applyBorder="1"/>
    <xf numFmtId="172" fontId="9" fillId="0" borderId="84" xfId="0" applyNumberFormat="1" applyFont="1" applyFill="1" applyBorder="1"/>
    <xf numFmtId="166" fontId="9" fillId="0" borderId="24" xfId="0" applyNumberFormat="1" applyFont="1" applyBorder="1"/>
    <xf numFmtId="166" fontId="9" fillId="0" borderId="25" xfId="0" applyNumberFormat="1" applyFont="1" applyBorder="1"/>
    <xf numFmtId="166" fontId="9" fillId="0" borderId="25" xfId="15" applyNumberFormat="1" applyFont="1" applyFill="1" applyBorder="1"/>
    <xf numFmtId="166" fontId="9" fillId="0" borderId="26" xfId="0" applyNumberFormat="1" applyFont="1" applyBorder="1"/>
    <xf numFmtId="0" fontId="16" fillId="0" borderId="86" xfId="0" applyFont="1" applyFill="1" applyBorder="1" applyAlignment="1">
      <alignment horizontal="left"/>
    </xf>
    <xf numFmtId="181" fontId="20" fillId="6" borderId="83" xfId="15" applyNumberFormat="1" applyFont="1" applyFill="1" applyBorder="1"/>
    <xf numFmtId="181" fontId="20" fillId="6" borderId="88" xfId="15" applyNumberFormat="1" applyFont="1" applyFill="1" applyBorder="1"/>
    <xf numFmtId="181" fontId="20" fillId="6" borderId="99" xfId="15" applyNumberFormat="1" applyFont="1" applyFill="1" applyBorder="1"/>
    <xf numFmtId="172" fontId="0" fillId="0" borderId="0" xfId="0" applyNumberFormat="1"/>
    <xf numFmtId="165" fontId="20" fillId="4" borderId="24" xfId="1" applyNumberFormat="1" applyFont="1" applyFill="1" applyBorder="1" applyAlignment="1">
      <alignment horizontal="right" vertical="center"/>
    </xf>
    <xf numFmtId="44" fontId="3" fillId="0" borderId="0" xfId="0" applyNumberFormat="1" applyFont="1"/>
    <xf numFmtId="172" fontId="0" fillId="0" borderId="0" xfId="0" applyNumberFormat="1" applyBorder="1" applyProtection="1">
      <protection locked="0"/>
    </xf>
    <xf numFmtId="0" fontId="3" fillId="0" borderId="27" xfId="0" applyFont="1" applyBorder="1" applyAlignment="1">
      <alignment horizontal="right"/>
    </xf>
    <xf numFmtId="179" fontId="0" fillId="0" borderId="0" xfId="0" applyNumberFormat="1"/>
    <xf numFmtId="177" fontId="3" fillId="0" borderId="3" xfId="0" applyNumberFormat="1" applyFont="1" applyBorder="1" applyAlignment="1">
      <alignment horizontal="center"/>
    </xf>
    <xf numFmtId="177" fontId="3" fillId="0" borderId="83" xfId="0" applyNumberFormat="1" applyFont="1" applyFill="1" applyBorder="1" applyAlignment="1">
      <alignment horizontal="center"/>
    </xf>
    <xf numFmtId="44" fontId="3" fillId="0" borderId="88" xfId="15" applyFont="1" applyBorder="1"/>
    <xf numFmtId="0" fontId="10" fillId="18" borderId="0" xfId="0" applyFont="1" applyFill="1" applyAlignment="1">
      <alignment horizontal="center"/>
    </xf>
    <xf numFmtId="0" fontId="3" fillId="18" borderId="0" xfId="0" applyFont="1" applyFill="1"/>
    <xf numFmtId="0" fontId="10" fillId="18" borderId="0" xfId="0" applyFont="1" applyFill="1" applyBorder="1"/>
    <xf numFmtId="0" fontId="10" fillId="18" borderId="0" xfId="0" applyFont="1" applyFill="1" applyBorder="1" applyAlignment="1">
      <alignment horizontal="center"/>
    </xf>
    <xf numFmtId="0" fontId="3" fillId="18" borderId="0" xfId="0" applyFont="1" applyFill="1" applyBorder="1" applyAlignment="1">
      <alignment horizontal="center" wrapText="1"/>
    </xf>
    <xf numFmtId="170" fontId="3" fillId="18" borderId="0" xfId="1" applyNumberFormat="1" applyFont="1" applyFill="1" applyBorder="1"/>
    <xf numFmtId="170" fontId="0" fillId="18" borderId="0" xfId="1" applyNumberFormat="1" applyFont="1" applyFill="1" applyBorder="1"/>
    <xf numFmtId="0" fontId="0" fillId="18" borderId="0" xfId="0" applyFill="1" applyBorder="1"/>
    <xf numFmtId="170" fontId="3" fillId="18" borderId="0" xfId="1" applyNumberFormat="1" applyFont="1" applyFill="1" applyBorder="1" applyAlignment="1">
      <alignment horizontal="left"/>
    </xf>
    <xf numFmtId="0" fontId="0" fillId="18" borderId="0" xfId="0" applyFill="1"/>
    <xf numFmtId="0" fontId="3" fillId="0" borderId="25" xfId="0" applyFont="1" applyBorder="1"/>
    <xf numFmtId="0" fontId="3" fillId="18" borderId="0" xfId="0" applyFont="1" applyFill="1" applyBorder="1"/>
    <xf numFmtId="0" fontId="3" fillId="10" borderId="27" xfId="0" applyFont="1" applyFill="1" applyBorder="1" applyAlignment="1">
      <alignment horizontal="center" wrapText="1"/>
    </xf>
    <xf numFmtId="0" fontId="3" fillId="10" borderId="28" xfId="0" applyFont="1" applyFill="1" applyBorder="1" applyAlignment="1">
      <alignment horizontal="center" wrapText="1"/>
    </xf>
    <xf numFmtId="0" fontId="3" fillId="10" borderId="29" xfId="0" applyFont="1" applyFill="1" applyBorder="1" applyAlignment="1">
      <alignment horizontal="center" wrapText="1"/>
    </xf>
    <xf numFmtId="0" fontId="3" fillId="18" borderId="28" xfId="0" applyFont="1" applyFill="1" applyBorder="1" applyAlignment="1">
      <alignment horizontal="center" wrapText="1"/>
    </xf>
    <xf numFmtId="0" fontId="3" fillId="18" borderId="28" xfId="0" applyFont="1" applyFill="1" applyBorder="1" applyAlignment="1">
      <alignment horizontal="center"/>
    </xf>
    <xf numFmtId="0" fontId="3" fillId="15" borderId="36" xfId="0" applyFont="1" applyFill="1" applyBorder="1"/>
    <xf numFmtId="0" fontId="3" fillId="18" borderId="10" xfId="0" applyFont="1" applyFill="1" applyBorder="1"/>
    <xf numFmtId="0" fontId="3" fillId="18" borderId="10" xfId="0" applyFont="1" applyFill="1" applyBorder="1" applyAlignment="1">
      <alignment horizontal="center"/>
    </xf>
    <xf numFmtId="0" fontId="3" fillId="18" borderId="2" xfId="0" applyFont="1" applyFill="1" applyBorder="1"/>
    <xf numFmtId="170" fontId="3" fillId="18" borderId="2" xfId="1" applyNumberFormat="1" applyFont="1" applyFill="1" applyBorder="1"/>
    <xf numFmtId="0" fontId="10" fillId="18" borderId="10" xfId="0" applyFont="1" applyFill="1" applyBorder="1"/>
    <xf numFmtId="0" fontId="3" fillId="18" borderId="6" xfId="0" applyFont="1" applyFill="1" applyBorder="1"/>
    <xf numFmtId="0" fontId="3" fillId="10" borderId="84" xfId="0" applyFont="1" applyFill="1" applyBorder="1" applyAlignment="1">
      <alignment horizontal="center" wrapText="1"/>
    </xf>
    <xf numFmtId="0" fontId="3" fillId="10" borderId="85" xfId="0" applyFont="1" applyFill="1" applyBorder="1" applyAlignment="1">
      <alignment horizontal="center" wrapText="1"/>
    </xf>
    <xf numFmtId="0" fontId="3" fillId="10" borderId="99" xfId="0" applyFont="1" applyFill="1" applyBorder="1" applyAlignment="1">
      <alignment horizontal="center" wrapText="1"/>
    </xf>
    <xf numFmtId="44" fontId="3" fillId="19" borderId="3" xfId="15" applyFont="1" applyFill="1" applyBorder="1"/>
    <xf numFmtId="44" fontId="3" fillId="19" borderId="85" xfId="15" applyFont="1" applyFill="1" applyBorder="1"/>
    <xf numFmtId="44" fontId="3" fillId="20" borderId="3" xfId="15" applyFont="1" applyFill="1" applyBorder="1"/>
    <xf numFmtId="44" fontId="3" fillId="20" borderId="85" xfId="15" applyFont="1" applyFill="1" applyBorder="1"/>
    <xf numFmtId="44" fontId="3" fillId="21" borderId="82" xfId="15" applyFont="1" applyFill="1" applyBorder="1"/>
    <xf numFmtId="44" fontId="3" fillId="21" borderId="3" xfId="15" applyFont="1" applyFill="1" applyBorder="1"/>
    <xf numFmtId="44" fontId="3" fillId="21" borderId="84" xfId="15" applyFont="1" applyFill="1" applyBorder="1"/>
    <xf numFmtId="44" fontId="3" fillId="21" borderId="85" xfId="15" applyFont="1" applyFill="1" applyBorder="1"/>
    <xf numFmtId="44" fontId="3" fillId="22" borderId="82" xfId="15" applyFont="1" applyFill="1" applyBorder="1"/>
    <xf numFmtId="44" fontId="3" fillId="22" borderId="3" xfId="15" applyFont="1" applyFill="1" applyBorder="1"/>
    <xf numFmtId="44" fontId="3" fillId="22" borderId="84" xfId="15" applyFont="1" applyFill="1" applyBorder="1"/>
    <xf numFmtId="44" fontId="3" fillId="22" borderId="85" xfId="15" applyFont="1" applyFill="1" applyBorder="1"/>
    <xf numFmtId="44" fontId="3" fillId="23" borderId="82" xfId="15" applyFont="1" applyFill="1" applyBorder="1"/>
    <xf numFmtId="44" fontId="3" fillId="23" borderId="3" xfId="15" applyFont="1" applyFill="1" applyBorder="1"/>
    <xf numFmtId="44" fontId="3" fillId="23" borderId="84" xfId="15" applyFont="1" applyFill="1" applyBorder="1"/>
    <xf numFmtId="44" fontId="3" fillId="23" borderId="85" xfId="15" applyFont="1" applyFill="1" applyBorder="1"/>
    <xf numFmtId="181" fontId="3" fillId="19" borderId="82" xfId="15" applyNumberFormat="1" applyFont="1" applyFill="1" applyBorder="1"/>
    <xf numFmtId="181" fontId="3" fillId="19" borderId="84" xfId="15" applyNumberFormat="1" applyFont="1" applyFill="1" applyBorder="1"/>
    <xf numFmtId="181" fontId="3" fillId="19" borderId="86" xfId="15" applyNumberFormat="1" applyFont="1" applyFill="1" applyBorder="1"/>
    <xf numFmtId="44" fontId="3" fillId="19" borderId="0" xfId="15" applyFont="1" applyFill="1" applyBorder="1"/>
    <xf numFmtId="44" fontId="3" fillId="18" borderId="0" xfId="15" applyFont="1" applyFill="1" applyBorder="1"/>
    <xf numFmtId="44" fontId="3" fillId="23" borderId="86" xfId="15" applyFont="1" applyFill="1" applyBorder="1"/>
    <xf numFmtId="44" fontId="3" fillId="23" borderId="0" xfId="15" applyFont="1" applyFill="1" applyBorder="1"/>
    <xf numFmtId="44" fontId="3" fillId="22" borderId="86" xfId="15" applyFont="1" applyFill="1" applyBorder="1"/>
    <xf numFmtId="44" fontId="3" fillId="22" borderId="0" xfId="15" applyFont="1" applyFill="1" applyBorder="1"/>
    <xf numFmtId="44" fontId="3" fillId="21" borderId="86" xfId="15" applyFont="1" applyFill="1" applyBorder="1"/>
    <xf numFmtId="44" fontId="3" fillId="21" borderId="0" xfId="15" applyFont="1" applyFill="1" applyBorder="1"/>
    <xf numFmtId="44" fontId="3" fillId="20" borderId="0" xfId="15" applyFont="1" applyFill="1" applyBorder="1"/>
    <xf numFmtId="0" fontId="3" fillId="10" borderId="45" xfId="0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center" wrapText="1"/>
    </xf>
    <xf numFmtId="44" fontId="3" fillId="20" borderId="2" xfId="15" applyFont="1" applyFill="1" applyBorder="1"/>
    <xf numFmtId="44" fontId="3" fillId="18" borderId="2" xfId="15" applyFont="1" applyFill="1" applyBorder="1"/>
    <xf numFmtId="44" fontId="3" fillId="21" borderId="106" xfId="15" applyFont="1" applyFill="1" applyBorder="1"/>
    <xf numFmtId="44" fontId="3" fillId="21" borderId="2" xfId="15" applyFont="1" applyFill="1" applyBorder="1"/>
    <xf numFmtId="44" fontId="3" fillId="22" borderId="106" xfId="15" applyFont="1" applyFill="1" applyBorder="1"/>
    <xf numFmtId="44" fontId="3" fillId="22" borderId="2" xfId="15" applyFont="1" applyFill="1" applyBorder="1"/>
    <xf numFmtId="44" fontId="3" fillId="23" borderId="106" xfId="15" applyFont="1" applyFill="1" applyBorder="1"/>
    <xf numFmtId="44" fontId="3" fillId="23" borderId="2" xfId="15" applyFont="1" applyFill="1" applyBorder="1"/>
    <xf numFmtId="181" fontId="3" fillId="19" borderId="106" xfId="15" applyNumberFormat="1" applyFont="1" applyFill="1" applyBorder="1"/>
    <xf numFmtId="44" fontId="3" fillId="19" borderId="2" xfId="15" applyFont="1" applyFill="1" applyBorder="1"/>
    <xf numFmtId="0" fontId="3" fillId="10" borderId="53" xfId="0" applyFont="1" applyFill="1" applyBorder="1"/>
    <xf numFmtId="0" fontId="3" fillId="10" borderId="56" xfId="0" applyFont="1" applyFill="1" applyBorder="1"/>
    <xf numFmtId="0" fontId="3" fillId="10" borderId="54" xfId="0" applyFont="1" applyFill="1" applyBorder="1"/>
    <xf numFmtId="0" fontId="3" fillId="10" borderId="49" xfId="0" applyFont="1" applyFill="1" applyBorder="1"/>
    <xf numFmtId="0" fontId="3" fillId="15" borderId="0" xfId="0" applyFont="1" applyFill="1" applyBorder="1" applyAlignment="1">
      <alignment horizontal="center" wrapText="1"/>
    </xf>
    <xf numFmtId="43" fontId="3" fillId="13" borderId="82" xfId="0" applyNumberFormat="1" applyFont="1" applyFill="1" applyBorder="1"/>
    <xf numFmtId="170" fontId="3" fillId="13" borderId="3" xfId="1" applyNumberFormat="1" applyFont="1" applyFill="1" applyBorder="1"/>
    <xf numFmtId="170" fontId="3" fillId="13" borderId="83" xfId="1" applyNumberFormat="1" applyFont="1" applyFill="1" applyBorder="1"/>
    <xf numFmtId="44" fontId="3" fillId="20" borderId="83" xfId="15" applyFont="1" applyFill="1" applyBorder="1"/>
    <xf numFmtId="44" fontId="3" fillId="21" borderId="83" xfId="15" applyFont="1" applyFill="1" applyBorder="1"/>
    <xf numFmtId="44" fontId="3" fillId="22" borderId="83" xfId="15" applyFont="1" applyFill="1" applyBorder="1"/>
    <xf numFmtId="44" fontId="3" fillId="23" borderId="83" xfId="15" applyFont="1" applyFill="1" applyBorder="1"/>
    <xf numFmtId="44" fontId="3" fillId="19" borderId="43" xfId="15" applyFont="1" applyFill="1" applyBorder="1"/>
    <xf numFmtId="43" fontId="3" fillId="13" borderId="84" xfId="0" applyNumberFormat="1" applyFont="1" applyFill="1" applyBorder="1"/>
    <xf numFmtId="170" fontId="3" fillId="13" borderId="85" xfId="1" applyNumberFormat="1" applyFont="1" applyFill="1" applyBorder="1"/>
    <xf numFmtId="170" fontId="3" fillId="13" borderId="99" xfId="1" applyNumberFormat="1" applyFont="1" applyFill="1" applyBorder="1"/>
    <xf numFmtId="44" fontId="3" fillId="20" borderId="99" xfId="15" applyFont="1" applyFill="1" applyBorder="1"/>
    <xf numFmtId="44" fontId="3" fillId="21" borderId="99" xfId="15" applyFont="1" applyFill="1" applyBorder="1"/>
    <xf numFmtId="44" fontId="3" fillId="22" borderId="99" xfId="15" applyFont="1" applyFill="1" applyBorder="1"/>
    <xf numFmtId="44" fontId="3" fillId="23" borderId="99" xfId="15" applyFont="1" applyFill="1" applyBorder="1"/>
    <xf numFmtId="44" fontId="3" fillId="19" borderId="45" xfId="15" applyFont="1" applyFill="1" applyBorder="1"/>
    <xf numFmtId="0" fontId="0" fillId="18" borderId="0" xfId="0" applyFont="1" applyFill="1" applyBorder="1"/>
    <xf numFmtId="0" fontId="0" fillId="0" borderId="7" xfId="0" applyFont="1" applyBorder="1"/>
    <xf numFmtId="43" fontId="3" fillId="13" borderId="86" xfId="0" applyNumberFormat="1" applyFont="1" applyFill="1" applyBorder="1"/>
    <xf numFmtId="170" fontId="3" fillId="13" borderId="0" xfId="1" applyNumberFormat="1" applyFont="1" applyFill="1" applyBorder="1"/>
    <xf numFmtId="170" fontId="3" fillId="13" borderId="88" xfId="1" applyNumberFormat="1" applyFont="1" applyFill="1" applyBorder="1"/>
    <xf numFmtId="44" fontId="3" fillId="20" borderId="88" xfId="15" applyFont="1" applyFill="1" applyBorder="1"/>
    <xf numFmtId="44" fontId="3" fillId="21" borderId="88" xfId="15" applyFont="1" applyFill="1" applyBorder="1"/>
    <xf numFmtId="44" fontId="3" fillId="22" borderId="88" xfId="15" applyFont="1" applyFill="1" applyBorder="1"/>
    <xf numFmtId="44" fontId="3" fillId="23" borderId="88" xfId="15" applyFont="1" applyFill="1" applyBorder="1"/>
    <xf numFmtId="44" fontId="3" fillId="19" borderId="7" xfId="15" applyFont="1" applyFill="1" applyBorder="1"/>
    <xf numFmtId="43" fontId="3" fillId="13" borderId="106" xfId="0" applyNumberFormat="1" applyFont="1" applyFill="1" applyBorder="1"/>
    <xf numFmtId="170" fontId="3" fillId="13" borderId="2" xfId="1" applyNumberFormat="1" applyFont="1" applyFill="1" applyBorder="1"/>
    <xf numFmtId="170" fontId="3" fillId="13" borderId="35" xfId="1" applyNumberFormat="1" applyFont="1" applyFill="1" applyBorder="1"/>
    <xf numFmtId="44" fontId="3" fillId="20" borderId="35" xfId="15" applyFont="1" applyFill="1" applyBorder="1"/>
    <xf numFmtId="44" fontId="3" fillId="21" borderId="35" xfId="15" applyFont="1" applyFill="1" applyBorder="1"/>
    <xf numFmtId="44" fontId="3" fillId="22" borderId="35" xfId="15" applyFont="1" applyFill="1" applyBorder="1"/>
    <xf numFmtId="44" fontId="3" fillId="23" borderId="35" xfId="15" applyFont="1" applyFill="1" applyBorder="1"/>
    <xf numFmtId="44" fontId="3" fillId="19" borderId="9" xfId="15" applyFont="1" applyFill="1" applyBorder="1"/>
    <xf numFmtId="0" fontId="0" fillId="18" borderId="0" xfId="0" applyFont="1" applyFill="1"/>
    <xf numFmtId="0" fontId="0" fillId="18" borderId="10" xfId="0" applyFont="1" applyFill="1" applyBorder="1"/>
    <xf numFmtId="0" fontId="0" fillId="18" borderId="5" xfId="0" applyFont="1" applyFill="1" applyBorder="1"/>
    <xf numFmtId="0" fontId="0" fillId="15" borderId="10" xfId="0" applyFont="1" applyFill="1" applyBorder="1"/>
    <xf numFmtId="170" fontId="3" fillId="13" borderId="3" xfId="1" applyNumberFormat="1" applyFont="1" applyFill="1" applyBorder="1" applyAlignment="1">
      <alignment horizontal="left"/>
    </xf>
    <xf numFmtId="170" fontId="3" fillId="13" borderId="83" xfId="1" applyNumberFormat="1" applyFont="1" applyFill="1" applyBorder="1" applyAlignment="1">
      <alignment horizontal="left"/>
    </xf>
    <xf numFmtId="44" fontId="3" fillId="19" borderId="43" xfId="0" applyNumberFormat="1" applyFont="1" applyFill="1" applyBorder="1"/>
    <xf numFmtId="170" fontId="3" fillId="13" borderId="85" xfId="1" applyNumberFormat="1" applyFont="1" applyFill="1" applyBorder="1" applyAlignment="1">
      <alignment horizontal="left"/>
    </xf>
    <xf numFmtId="170" fontId="3" fillId="13" borderId="99" xfId="1" applyNumberFormat="1" applyFont="1" applyFill="1" applyBorder="1" applyAlignment="1">
      <alignment horizontal="left"/>
    </xf>
    <xf numFmtId="44" fontId="3" fillId="19" borderId="45" xfId="0" applyNumberFormat="1" applyFont="1" applyFill="1" applyBorder="1"/>
    <xf numFmtId="0" fontId="0" fillId="18" borderId="7" xfId="0" applyFont="1" applyFill="1" applyBorder="1"/>
    <xf numFmtId="44" fontId="3" fillId="19" borderId="7" xfId="0" applyNumberFormat="1" applyFont="1" applyFill="1" applyBorder="1"/>
    <xf numFmtId="44" fontId="0" fillId="19" borderId="43" xfId="0" applyNumberFormat="1" applyFont="1" applyFill="1" applyBorder="1"/>
    <xf numFmtId="44" fontId="0" fillId="19" borderId="7" xfId="0" applyNumberFormat="1" applyFont="1" applyFill="1" applyBorder="1"/>
    <xf numFmtId="0" fontId="3" fillId="0" borderId="0" xfId="0" applyFont="1" applyFill="1" applyBorder="1"/>
    <xf numFmtId="0" fontId="3" fillId="10" borderId="24" xfId="0" applyFont="1" applyFill="1" applyBorder="1"/>
    <xf numFmtId="0" fontId="3" fillId="10" borderId="26" xfId="0" applyFont="1" applyFill="1" applyBorder="1"/>
    <xf numFmtId="0" fontId="3" fillId="10" borderId="46" xfId="0" applyFont="1" applyFill="1" applyBorder="1"/>
    <xf numFmtId="0" fontId="10" fillId="15" borderId="18" xfId="0" applyFont="1" applyFill="1" applyBorder="1"/>
    <xf numFmtId="0" fontId="10" fillId="15" borderId="36" xfId="0" applyFont="1" applyFill="1" applyBorder="1"/>
    <xf numFmtId="0" fontId="3" fillId="15" borderId="29" xfId="0" applyFont="1" applyFill="1" applyBorder="1" applyAlignment="1">
      <alignment horizontal="center" wrapText="1"/>
    </xf>
    <xf numFmtId="0" fontId="0" fillId="15" borderId="31" xfId="0" applyFont="1" applyFill="1" applyBorder="1"/>
    <xf numFmtId="44" fontId="0" fillId="0" borderId="0" xfId="0" applyNumberFormat="1"/>
    <xf numFmtId="171" fontId="0" fillId="0" borderId="0" xfId="0" applyNumberFormat="1"/>
    <xf numFmtId="181" fontId="0" fillId="0" borderId="0" xfId="15" applyNumberFormat="1" applyFont="1"/>
    <xf numFmtId="181" fontId="0" fillId="0" borderId="85" xfId="15" applyNumberFormat="1" applyFont="1" applyBorder="1"/>
    <xf numFmtId="44" fontId="3" fillId="0" borderId="85" xfId="0" applyNumberFormat="1" applyFont="1" applyBorder="1"/>
    <xf numFmtId="0" fontId="10" fillId="15" borderId="3" xfId="0" applyFont="1" applyFill="1" applyBorder="1"/>
    <xf numFmtId="0" fontId="10" fillId="15" borderId="33" xfId="0" applyFont="1" applyFill="1" applyBorder="1"/>
    <xf numFmtId="0" fontId="0" fillId="8" borderId="107" xfId="0" applyFill="1" applyBorder="1"/>
    <xf numFmtId="0" fontId="0" fillId="8" borderId="20" xfId="0" applyFill="1" applyBorder="1"/>
    <xf numFmtId="0" fontId="3" fillId="8" borderId="20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 wrapText="1"/>
    </xf>
    <xf numFmtId="44" fontId="3" fillId="8" borderId="20" xfId="15" applyFont="1" applyFill="1" applyBorder="1"/>
    <xf numFmtId="0" fontId="0" fillId="8" borderId="20" xfId="0" applyFont="1" applyFill="1" applyBorder="1"/>
    <xf numFmtId="44" fontId="3" fillId="8" borderId="21" xfId="15" applyFont="1" applyFill="1" applyBorder="1"/>
    <xf numFmtId="44" fontId="0" fillId="0" borderId="0" xfId="15" applyNumberFormat="1" applyFont="1"/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right"/>
    </xf>
    <xf numFmtId="0" fontId="39" fillId="11" borderId="108" xfId="30" applyFont="1" applyFill="1" applyBorder="1" applyAlignment="1">
      <alignment horizontal="center"/>
    </xf>
    <xf numFmtId="0" fontId="39" fillId="11" borderId="109" xfId="30" applyFont="1" applyFill="1" applyBorder="1" applyAlignment="1">
      <alignment horizontal="center"/>
    </xf>
    <xf numFmtId="0" fontId="39" fillId="11" borderId="109" xfId="30" applyFont="1" applyFill="1" applyBorder="1" applyAlignment="1">
      <alignment horizontal="left"/>
    </xf>
    <xf numFmtId="3" fontId="39" fillId="11" borderId="110" xfId="30" applyNumberFormat="1" applyFont="1" applyFill="1" applyBorder="1" applyAlignment="1">
      <alignment horizontal="center"/>
    </xf>
    <xf numFmtId="0" fontId="39" fillId="11" borderId="0" xfId="30" applyFont="1" applyFill="1" applyAlignment="1">
      <alignment horizontal="center"/>
    </xf>
    <xf numFmtId="0" fontId="39" fillId="11" borderId="108" xfId="30" applyFont="1" applyFill="1" applyBorder="1" applyAlignment="1">
      <alignment horizontal="left"/>
    </xf>
    <xf numFmtId="3" fontId="39" fillId="11" borderId="29" xfId="30" applyNumberFormat="1" applyFont="1" applyFill="1" applyBorder="1" applyAlignment="1">
      <alignment horizontal="center"/>
    </xf>
    <xf numFmtId="165" fontId="49" fillId="0" borderId="0" xfId="1" applyNumberFormat="1" applyFont="1" applyFill="1" applyBorder="1"/>
    <xf numFmtId="170" fontId="3" fillId="0" borderId="0" xfId="0" applyNumberFormat="1" applyFont="1"/>
    <xf numFmtId="170" fontId="3" fillId="0" borderId="85" xfId="1" applyNumberFormat="1" applyFont="1" applyBorder="1"/>
    <xf numFmtId="0" fontId="55" fillId="0" borderId="0" xfId="0" applyFont="1" applyAlignment="1">
      <alignment horizontal="center"/>
    </xf>
    <xf numFmtId="0" fontId="10" fillId="0" borderId="0" xfId="0" quotePrefix="1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170" fontId="3" fillId="0" borderId="85" xfId="0" applyNumberFormat="1" applyFont="1" applyBorder="1"/>
    <xf numFmtId="0" fontId="49" fillId="0" borderId="0" xfId="0" applyFont="1" applyAlignment="1">
      <alignment horizontal="right"/>
    </xf>
    <xf numFmtId="165" fontId="49" fillId="0" borderId="0" xfId="0" applyNumberFormat="1" applyFont="1" applyAlignment="1">
      <alignment horizontal="right"/>
    </xf>
    <xf numFmtId="180" fontId="0" fillId="0" borderId="0" xfId="1" applyNumberFormat="1" applyFont="1" applyAlignment="1">
      <alignment horizontal="right"/>
    </xf>
    <xf numFmtId="170" fontId="0" fillId="0" borderId="0" xfId="1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5" fontId="55" fillId="0" borderId="0" xfId="0" applyNumberFormat="1" applyFont="1" applyAlignment="1">
      <alignment horizontal="right"/>
    </xf>
    <xf numFmtId="180" fontId="3" fillId="0" borderId="0" xfId="1" applyNumberFormat="1" applyFont="1" applyAlignment="1">
      <alignment horizontal="right"/>
    </xf>
    <xf numFmtId="170" fontId="3" fillId="0" borderId="0" xfId="1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2" fontId="3" fillId="0" borderId="0" xfId="0" applyNumberFormat="1" applyFont="1"/>
    <xf numFmtId="44" fontId="57" fillId="17" borderId="82" xfId="0" applyNumberFormat="1" applyFont="1" applyFill="1" applyBorder="1"/>
    <xf numFmtId="44" fontId="57" fillId="17" borderId="84" xfId="0" applyNumberFormat="1" applyFont="1" applyFill="1" applyBorder="1"/>
    <xf numFmtId="0" fontId="56" fillId="18" borderId="85" xfId="0" applyFont="1" applyFill="1" applyBorder="1"/>
    <xf numFmtId="44" fontId="57" fillId="17" borderId="86" xfId="0" applyNumberFormat="1" applyFont="1" applyFill="1" applyBorder="1"/>
    <xf numFmtId="0" fontId="56" fillId="18" borderId="0" xfId="0" applyFont="1" applyFill="1" applyBorder="1"/>
    <xf numFmtId="44" fontId="57" fillId="17" borderId="106" xfId="0" applyNumberFormat="1" applyFont="1" applyFill="1" applyBorder="1"/>
    <xf numFmtId="0" fontId="56" fillId="18" borderId="0" xfId="0" applyFont="1" applyFill="1"/>
    <xf numFmtId="0" fontId="56" fillId="18" borderId="10" xfId="0" applyFont="1" applyFill="1" applyBorder="1"/>
    <xf numFmtId="0" fontId="56" fillId="18" borderId="84" xfId="0" applyFont="1" applyFill="1" applyBorder="1"/>
    <xf numFmtId="0" fontId="59" fillId="18" borderId="85" xfId="0" applyFont="1" applyFill="1" applyBorder="1"/>
    <xf numFmtId="0" fontId="59" fillId="18" borderId="0" xfId="0" applyFont="1" applyFill="1" applyBorder="1"/>
    <xf numFmtId="0" fontId="59" fillId="18" borderId="0" xfId="0" applyFont="1" applyFill="1"/>
    <xf numFmtId="0" fontId="59" fillId="18" borderId="10" xfId="0" applyFont="1" applyFill="1" applyBorder="1"/>
    <xf numFmtId="44" fontId="60" fillId="17" borderId="3" xfId="15" applyFont="1" applyFill="1" applyBorder="1"/>
    <xf numFmtId="44" fontId="60" fillId="17" borderId="85" xfId="15" applyFont="1" applyFill="1" applyBorder="1"/>
    <xf numFmtId="0" fontId="61" fillId="18" borderId="85" xfId="0" applyFont="1" applyFill="1" applyBorder="1"/>
    <xf numFmtId="44" fontId="60" fillId="17" borderId="0" xfId="15" applyFont="1" applyFill="1" applyBorder="1"/>
    <xf numFmtId="0" fontId="61" fillId="18" borderId="0" xfId="0" applyFont="1" applyFill="1" applyBorder="1"/>
    <xf numFmtId="44" fontId="60" fillId="17" borderId="2" xfId="15" applyFont="1" applyFill="1" applyBorder="1"/>
    <xf numFmtId="0" fontId="61" fillId="18" borderId="0" xfId="0" applyFont="1" applyFill="1"/>
    <xf numFmtId="0" fontId="61" fillId="18" borderId="10" xfId="0" applyFont="1" applyFill="1" applyBorder="1"/>
    <xf numFmtId="44" fontId="62" fillId="17" borderId="3" xfId="15" applyFont="1" applyFill="1" applyBorder="1"/>
    <xf numFmtId="44" fontId="62" fillId="17" borderId="85" xfId="15" applyFont="1" applyFill="1" applyBorder="1"/>
    <xf numFmtId="0" fontId="63" fillId="18" borderId="85" xfId="0" applyFont="1" applyFill="1" applyBorder="1"/>
    <xf numFmtId="44" fontId="62" fillId="17" borderId="0" xfId="15" applyFont="1" applyFill="1" applyBorder="1"/>
    <xf numFmtId="0" fontId="63" fillId="18" borderId="0" xfId="0" applyFont="1" applyFill="1" applyBorder="1"/>
    <xf numFmtId="44" fontId="62" fillId="17" borderId="2" xfId="15" applyFont="1" applyFill="1" applyBorder="1"/>
    <xf numFmtId="0" fontId="63" fillId="18" borderId="0" xfId="0" applyFont="1" applyFill="1"/>
    <xf numFmtId="0" fontId="63" fillId="18" borderId="10" xfId="0" applyFont="1" applyFill="1" applyBorder="1"/>
    <xf numFmtId="44" fontId="64" fillId="17" borderId="3" xfId="15" applyFont="1" applyFill="1" applyBorder="1"/>
    <xf numFmtId="44" fontId="64" fillId="17" borderId="85" xfId="15" applyFont="1" applyFill="1" applyBorder="1"/>
    <xf numFmtId="0" fontId="65" fillId="18" borderId="85" xfId="0" applyFont="1" applyFill="1" applyBorder="1"/>
    <xf numFmtId="44" fontId="64" fillId="17" borderId="0" xfId="15" applyFont="1" applyFill="1" applyBorder="1"/>
    <xf numFmtId="0" fontId="65" fillId="18" borderId="0" xfId="0" applyFont="1" applyFill="1" applyBorder="1"/>
    <xf numFmtId="44" fontId="64" fillId="17" borderId="2" xfId="15" applyFont="1" applyFill="1" applyBorder="1"/>
    <xf numFmtId="0" fontId="65" fillId="18" borderId="0" xfId="0" applyFont="1" applyFill="1"/>
    <xf numFmtId="0" fontId="65" fillId="18" borderId="10" xfId="0" applyFont="1" applyFill="1" applyBorder="1"/>
    <xf numFmtId="44" fontId="66" fillId="17" borderId="3" xfId="15" applyFont="1" applyFill="1" applyBorder="1"/>
    <xf numFmtId="44" fontId="66" fillId="17" borderId="85" xfId="15" applyFont="1" applyFill="1" applyBorder="1"/>
    <xf numFmtId="0" fontId="67" fillId="18" borderId="85" xfId="0" applyFont="1" applyFill="1" applyBorder="1"/>
    <xf numFmtId="44" fontId="66" fillId="17" borderId="0" xfId="15" applyFont="1" applyFill="1" applyBorder="1"/>
    <xf numFmtId="0" fontId="67" fillId="18" borderId="0" xfId="0" applyFont="1" applyFill="1" applyBorder="1"/>
    <xf numFmtId="44" fontId="66" fillId="17" borderId="45" xfId="15" applyFont="1" applyFill="1" applyBorder="1"/>
    <xf numFmtId="44" fontId="66" fillId="17" borderId="2" xfId="15" applyFont="1" applyFill="1" applyBorder="1"/>
    <xf numFmtId="0" fontId="67" fillId="18" borderId="0" xfId="0" applyFont="1" applyFill="1"/>
    <xf numFmtId="0" fontId="67" fillId="18" borderId="10" xfId="0" applyFont="1" applyFill="1" applyBorder="1"/>
    <xf numFmtId="44" fontId="58" fillId="17" borderId="82" xfId="15" applyFont="1" applyFill="1" applyBorder="1"/>
    <xf numFmtId="44" fontId="58" fillId="17" borderId="84" xfId="15" applyFont="1" applyFill="1" applyBorder="1"/>
    <xf numFmtId="44" fontId="58" fillId="17" borderId="86" xfId="15" applyFont="1" applyFill="1" applyBorder="1"/>
    <xf numFmtId="44" fontId="58" fillId="17" borderId="106" xfId="15" applyFont="1" applyFill="1" applyBorder="1"/>
    <xf numFmtId="0" fontId="57" fillId="10" borderId="27" xfId="0" applyFont="1" applyFill="1" applyBorder="1" applyAlignment="1">
      <alignment horizontal="center"/>
    </xf>
    <xf numFmtId="0" fontId="68" fillId="10" borderId="27" xfId="0" applyFont="1" applyFill="1" applyBorder="1" applyAlignment="1">
      <alignment horizontal="center" wrapText="1"/>
    </xf>
    <xf numFmtId="0" fontId="60" fillId="10" borderId="28" xfId="0" applyFont="1" applyFill="1" applyBorder="1" applyAlignment="1">
      <alignment horizontal="center" wrapText="1"/>
    </xf>
    <xf numFmtId="0" fontId="62" fillId="10" borderId="28" xfId="0" applyFont="1" applyFill="1" applyBorder="1" applyAlignment="1">
      <alignment horizontal="center" wrapText="1"/>
    </xf>
    <xf numFmtId="0" fontId="64" fillId="10" borderId="28" xfId="0" applyFont="1" applyFill="1" applyBorder="1" applyAlignment="1">
      <alignment horizontal="center" wrapText="1"/>
    </xf>
    <xf numFmtId="0" fontId="66" fillId="10" borderId="28" xfId="0" applyFont="1" applyFill="1" applyBorder="1" applyAlignment="1">
      <alignment horizontal="center" wrapText="1"/>
    </xf>
    <xf numFmtId="0" fontId="69" fillId="10" borderId="28" xfId="0" applyFont="1" applyFill="1" applyBorder="1" applyAlignment="1">
      <alignment horizontal="center" wrapText="1"/>
    </xf>
    <xf numFmtId="44" fontId="69" fillId="17" borderId="3" xfId="0" applyNumberFormat="1" applyFont="1" applyFill="1" applyBorder="1"/>
    <xf numFmtId="44" fontId="69" fillId="17" borderId="85" xfId="0" applyNumberFormat="1" applyFont="1" applyFill="1" applyBorder="1"/>
    <xf numFmtId="0" fontId="70" fillId="18" borderId="85" xfId="0" applyFont="1" applyFill="1" applyBorder="1"/>
    <xf numFmtId="44" fontId="69" fillId="17" borderId="0" xfId="0" applyNumberFormat="1" applyFont="1" applyFill="1" applyBorder="1"/>
    <xf numFmtId="0" fontId="70" fillId="18" borderId="0" xfId="0" applyFont="1" applyFill="1" applyBorder="1"/>
    <xf numFmtId="44" fontId="69" fillId="17" borderId="2" xfId="0" applyNumberFormat="1" applyFont="1" applyFill="1" applyBorder="1"/>
    <xf numFmtId="0" fontId="70" fillId="18" borderId="0" xfId="0" applyFont="1" applyFill="1"/>
    <xf numFmtId="0" fontId="70" fillId="18" borderId="10" xfId="0" applyFont="1" applyFill="1" applyBorder="1"/>
    <xf numFmtId="0" fontId="25" fillId="25" borderId="15" xfId="25" applyFont="1" applyFill="1" applyBorder="1" applyAlignment="1">
      <alignment horizontal="center"/>
    </xf>
    <xf numFmtId="0" fontId="25" fillId="24" borderId="16" xfId="25" applyFont="1" applyFill="1" applyBorder="1" applyAlignment="1">
      <alignment horizontal="right" vertical="center" wrapText="1"/>
    </xf>
    <xf numFmtId="0" fontId="25" fillId="24" borderId="16" xfId="25" applyFont="1" applyFill="1" applyBorder="1" applyAlignment="1">
      <alignment vertical="center" wrapText="1"/>
    </xf>
    <xf numFmtId="4" fontId="25" fillId="24" borderId="16" xfId="25" applyNumberFormat="1" applyFont="1" applyFill="1" applyBorder="1" applyAlignment="1">
      <alignment horizontal="right" vertical="center" wrapText="1"/>
    </xf>
    <xf numFmtId="0" fontId="0" fillId="26" borderId="0" xfId="0" applyFill="1"/>
    <xf numFmtId="167" fontId="15" fillId="26" borderId="0" xfId="0" applyNumberFormat="1" applyFont="1" applyFill="1" applyBorder="1"/>
    <xf numFmtId="0" fontId="53" fillId="0" borderId="4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15" borderId="32" xfId="0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3" fillId="15" borderId="31" xfId="0" applyFont="1" applyFill="1" applyBorder="1" applyAlignment="1">
      <alignment horizontal="center"/>
    </xf>
    <xf numFmtId="0" fontId="3" fillId="15" borderId="34" xfId="0" applyFont="1" applyFill="1" applyBorder="1" applyAlignment="1">
      <alignment horizontal="center"/>
    </xf>
    <xf numFmtId="0" fontId="23" fillId="7" borderId="18" xfId="28" applyFont="1" applyFill="1" applyBorder="1" applyAlignment="1">
      <alignment horizontal="center"/>
    </xf>
    <xf numFmtId="0" fontId="46" fillId="0" borderId="27" xfId="0" quotePrefix="1" applyFont="1" applyBorder="1" applyAlignment="1">
      <alignment horizontal="center"/>
    </xf>
    <xf numFmtId="0" fontId="46" fillId="0" borderId="28" xfId="0" quotePrefix="1" applyFont="1" applyBorder="1" applyAlignment="1">
      <alignment horizontal="center"/>
    </xf>
    <xf numFmtId="0" fontId="47" fillId="0" borderId="82" xfId="0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0" fontId="47" fillId="0" borderId="83" xfId="0" applyFont="1" applyBorder="1" applyAlignment="1">
      <alignment horizontal="center"/>
    </xf>
    <xf numFmtId="0" fontId="48" fillId="14" borderId="82" xfId="0" applyFont="1" applyFill="1" applyBorder="1" applyAlignment="1">
      <alignment horizontal="center" wrapText="1"/>
    </xf>
    <xf numFmtId="0" fontId="48" fillId="14" borderId="3" xfId="0" applyFont="1" applyFill="1" applyBorder="1" applyAlignment="1">
      <alignment horizontal="center" wrapText="1"/>
    </xf>
    <xf numFmtId="0" fontId="48" fillId="14" borderId="83" xfId="0" applyFont="1" applyFill="1" applyBorder="1" applyAlignment="1">
      <alignment horizontal="center" wrapText="1"/>
    </xf>
    <xf numFmtId="0" fontId="3" fillId="0" borderId="80" xfId="0" applyFont="1" applyBorder="1" applyAlignment="1">
      <alignment horizontal="center" wrapText="1"/>
    </xf>
    <xf numFmtId="0" fontId="3" fillId="0" borderId="8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10" fillId="10" borderId="0" xfId="0" applyFont="1" applyFill="1" applyBorder="1" applyAlignment="1">
      <alignment horizontal="center"/>
    </xf>
    <xf numFmtId="0" fontId="10" fillId="10" borderId="88" xfId="0" applyFont="1" applyFill="1" applyBorder="1" applyAlignment="1">
      <alignment horizontal="center"/>
    </xf>
    <xf numFmtId="0" fontId="48" fillId="14" borderId="28" xfId="0" applyFont="1" applyFill="1" applyBorder="1" applyAlignment="1">
      <alignment horizontal="center" wrapText="1"/>
    </xf>
    <xf numFmtId="0" fontId="48" fillId="16" borderId="28" xfId="0" applyFont="1" applyFill="1" applyBorder="1" applyAlignment="1">
      <alignment horizontal="center" wrapText="1"/>
    </xf>
    <xf numFmtId="0" fontId="48" fillId="16" borderId="29" xfId="0" applyFont="1" applyFill="1" applyBorder="1" applyAlignment="1">
      <alignment horizontal="center" wrapText="1"/>
    </xf>
  </cellXfs>
  <cellStyles count="34">
    <cellStyle name="Comma" xfId="1" builtinId="3"/>
    <cellStyle name="Currency" xfId="15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2" xfId="23" xr:uid="{00000000-0005-0000-0000-000015000000}"/>
    <cellStyle name="Normal 3" xfId="24" xr:uid="{00000000-0005-0000-0000-000016000000}"/>
    <cellStyle name="Normal_Commodity" xfId="33" xr:uid="{E4098CA5-2E06-E74D-84D7-895912E8E687}"/>
    <cellStyle name="Normal_Locomotives16" xfId="25" xr:uid="{00000000-0005-0000-0000-00001A000000}"/>
    <cellStyle name="Normal_Report" xfId="31" xr:uid="{D342852A-6DF6-3D4E-BBAD-78041C9D3936}"/>
    <cellStyle name="Normal_Sch710" xfId="28" xr:uid="{5C94BC65-7157-1A45-8D34-68BF8D4444EB}"/>
    <cellStyle name="Normal_Sch720-755" xfId="30" xr:uid="{76104E56-0AED-744D-AB73-994F2843127E}"/>
    <cellStyle name="Normal_Sch750" xfId="29" xr:uid="{0113B57F-A3DB-704D-97E0-8071A7D69F40}"/>
    <cellStyle name="Normal_Sch755" xfId="27" xr:uid="{F7A822CF-B77E-C045-82E2-2DBBAA064D45}"/>
    <cellStyle name="Normal_Sheet1" xfId="32" xr:uid="{5A734EE2-0B12-FD40-B979-E8512C8388D4}"/>
    <cellStyle name="Normal_Sheet2" xfId="26" xr:uid="{E3A1594A-D938-2443-9C32-F57924648A91}"/>
    <cellStyle name="Percent" xfId="2" builtinId="5"/>
    <cellStyle name="Percent 2" xfId="22" xr:uid="{00000000-0005-0000-0000-00001D000000}"/>
  </cellStyles>
  <dxfs count="0"/>
  <tableStyles count="0" defaultTableStyle="TableStyleMedium9" defaultPivotStyle="PivotStyleMedium4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46C2C-9274-484F-8E8F-3DAC4F127728}">
  <sheetPr>
    <tabColor theme="5" tint="-0.499984740745262"/>
    <pageSetUpPr fitToPage="1"/>
  </sheetPr>
  <dimension ref="A1:AM89"/>
  <sheetViews>
    <sheetView tabSelected="1" topLeftCell="A5" workbookViewId="0">
      <selection activeCell="F13" sqref="F13"/>
    </sheetView>
  </sheetViews>
  <sheetFormatPr baseColWidth="10" defaultRowHeight="16"/>
  <cols>
    <col min="1" max="1" width="37.1640625" style="2" customWidth="1"/>
    <col min="2" max="2" width="1" style="798" customWidth="1"/>
    <col min="3" max="3" width="12.1640625" customWidth="1"/>
    <col min="4" max="4" width="7.83203125" customWidth="1"/>
    <col min="5" max="5" width="10.1640625" customWidth="1"/>
    <col min="6" max="6" width="10.83203125" customWidth="1"/>
    <col min="7" max="7" width="10.5" customWidth="1"/>
    <col min="8" max="8" width="7.6640625" customWidth="1"/>
    <col min="9" max="9" width="10" customWidth="1"/>
    <col min="10" max="10" width="1" style="804" customWidth="1"/>
    <col min="13" max="13" width="11.5" customWidth="1"/>
    <col min="17" max="17" width="12.33203125" customWidth="1"/>
    <col min="18" max="18" width="2.83203125" customWidth="1"/>
    <col min="19" max="19" width="11.83203125" customWidth="1"/>
    <col min="20" max="20" width="11.6640625" customWidth="1"/>
    <col min="24" max="24" width="1" customWidth="1"/>
    <col min="25" max="26" width="11.6640625" customWidth="1"/>
    <col min="28" max="28" width="1" customWidth="1"/>
    <col min="32" max="32" width="1" customWidth="1"/>
    <col min="36" max="36" width="1" customWidth="1"/>
    <col min="37" max="37" width="11.83203125" customWidth="1"/>
    <col min="38" max="38" width="12" customWidth="1"/>
    <col min="39" max="39" width="11.83203125" customWidth="1"/>
  </cols>
  <sheetData>
    <row r="1" spans="1:39" ht="21">
      <c r="A1" s="1041" t="s">
        <v>1807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  <c r="L1" s="1042"/>
      <c r="M1" s="1042"/>
      <c r="N1" s="1042"/>
      <c r="O1" s="1042"/>
      <c r="P1" s="1042"/>
      <c r="Q1" s="1042"/>
      <c r="R1" s="932"/>
      <c r="S1" s="1042" t="s">
        <v>1809</v>
      </c>
      <c r="T1" s="1042"/>
      <c r="U1" s="1042"/>
      <c r="V1" s="1042"/>
      <c r="W1" s="1042"/>
      <c r="X1" s="1042"/>
      <c r="Y1" s="1042"/>
      <c r="Z1" s="1042"/>
      <c r="AA1" s="1042"/>
      <c r="AB1" s="1042"/>
      <c r="AC1" s="1042"/>
      <c r="AD1" s="1042"/>
      <c r="AE1" s="1042"/>
      <c r="AF1" s="1042"/>
      <c r="AG1" s="1042"/>
      <c r="AH1" s="1042"/>
      <c r="AI1" s="1042"/>
      <c r="AJ1" s="1042"/>
      <c r="AK1" s="1042"/>
      <c r="AL1" s="1042"/>
      <c r="AM1" s="1045"/>
    </row>
    <row r="2" spans="1:39" ht="19">
      <c r="A2" s="1043" t="s">
        <v>1808</v>
      </c>
      <c r="B2" s="1044"/>
      <c r="C2" s="1044"/>
      <c r="D2" s="1044"/>
      <c r="E2" s="1044"/>
      <c r="F2" s="1044"/>
      <c r="G2" s="1044"/>
      <c r="H2" s="1044"/>
      <c r="I2" s="1044"/>
      <c r="J2" s="1044"/>
      <c r="K2" s="1044"/>
      <c r="L2" s="1044"/>
      <c r="M2" s="1044"/>
      <c r="N2" s="1044"/>
      <c r="O2" s="1044"/>
      <c r="P2" s="1044"/>
      <c r="Q2" s="1044"/>
      <c r="R2" s="933"/>
      <c r="S2" s="267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5"/>
    </row>
    <row r="3" spans="1:39" ht="19">
      <c r="A3" s="1043" t="s">
        <v>1810</v>
      </c>
      <c r="B3" s="1044"/>
      <c r="C3" s="1044"/>
      <c r="D3" s="1044"/>
      <c r="E3" s="1044"/>
      <c r="F3" s="1044"/>
      <c r="G3" s="1044"/>
      <c r="H3" s="1044"/>
      <c r="I3" s="1044"/>
      <c r="J3" s="1044"/>
      <c r="K3" s="1044"/>
      <c r="L3" s="1044"/>
      <c r="M3" s="1044"/>
      <c r="N3" s="1044"/>
      <c r="O3" s="1044"/>
      <c r="P3" s="1044"/>
      <c r="Q3" s="1044"/>
      <c r="R3" s="933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5"/>
    </row>
    <row r="4" spans="1:39" ht="20" thickBot="1">
      <c r="A4" s="1046" t="s">
        <v>1811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  <c r="P4" s="1047"/>
      <c r="Q4" s="1047"/>
      <c r="R4" s="93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6"/>
    </row>
    <row r="5" spans="1:39" ht="8" customHeight="1" thickBot="1">
      <c r="A5" s="797"/>
      <c r="B5" s="797"/>
      <c r="C5" s="797"/>
      <c r="D5" s="797"/>
      <c r="E5" s="797"/>
      <c r="F5" s="797"/>
      <c r="G5" s="797"/>
      <c r="H5" s="797"/>
      <c r="I5" s="797"/>
      <c r="J5" s="800"/>
      <c r="K5" s="797"/>
      <c r="L5" s="797"/>
      <c r="M5" s="797"/>
      <c r="N5" s="797"/>
      <c r="O5" s="797"/>
      <c r="P5" s="797"/>
      <c r="Q5" s="797"/>
      <c r="R5" s="933"/>
      <c r="S5" s="806"/>
      <c r="T5" s="806"/>
      <c r="U5" s="806"/>
      <c r="V5" s="806"/>
      <c r="W5" s="806"/>
      <c r="X5" s="806"/>
      <c r="Y5" s="806"/>
      <c r="Z5" s="806"/>
      <c r="AA5" s="806"/>
      <c r="AB5" s="806"/>
      <c r="AC5" s="806"/>
      <c r="AD5" s="806"/>
      <c r="AE5" s="806"/>
      <c r="AF5" s="806"/>
      <c r="AG5" s="806"/>
      <c r="AH5" s="806"/>
      <c r="AI5" s="806"/>
      <c r="AJ5" s="806"/>
      <c r="AK5" s="806"/>
      <c r="AL5" s="806"/>
      <c r="AM5" s="806"/>
    </row>
    <row r="6" spans="1:39">
      <c r="A6" s="814" t="s">
        <v>1698</v>
      </c>
      <c r="B6" s="815"/>
      <c r="C6" s="1048" t="s">
        <v>1729</v>
      </c>
      <c r="D6" s="1049"/>
      <c r="E6" s="1049"/>
      <c r="F6" s="1049"/>
      <c r="G6" s="1049"/>
      <c r="H6" s="1049"/>
      <c r="I6" s="1050"/>
      <c r="J6" s="816"/>
      <c r="K6" s="1048" t="s">
        <v>1812</v>
      </c>
      <c r="L6" s="1049"/>
      <c r="M6" s="1049"/>
      <c r="N6" s="1049"/>
      <c r="O6" s="1049"/>
      <c r="P6" s="1049"/>
      <c r="Q6" s="1049"/>
      <c r="R6" s="934"/>
      <c r="S6" s="1049" t="s">
        <v>1702</v>
      </c>
      <c r="T6" s="1049"/>
      <c r="U6" s="1049"/>
      <c r="V6" s="1049"/>
      <c r="W6" s="1050"/>
      <c r="X6" s="816"/>
      <c r="Y6" s="1048" t="s">
        <v>1703</v>
      </c>
      <c r="Z6" s="1049"/>
      <c r="AA6" s="1050"/>
      <c r="AB6" s="816"/>
      <c r="AC6" s="1048" t="s">
        <v>1705</v>
      </c>
      <c r="AD6" s="1049"/>
      <c r="AE6" s="1050"/>
      <c r="AF6" s="816"/>
      <c r="AG6" s="1048" t="s">
        <v>1706</v>
      </c>
      <c r="AH6" s="1049"/>
      <c r="AI6" s="1050"/>
      <c r="AJ6" s="816"/>
      <c r="AK6" s="1048" t="s">
        <v>1708</v>
      </c>
      <c r="AL6" s="1049"/>
      <c r="AM6" s="1051"/>
    </row>
    <row r="7" spans="1:39" ht="68">
      <c r="A7" s="205"/>
      <c r="B7" s="807"/>
      <c r="C7" s="809" t="s">
        <v>1814</v>
      </c>
      <c r="D7" s="810" t="s">
        <v>1721</v>
      </c>
      <c r="E7" s="810" t="s">
        <v>1722</v>
      </c>
      <c r="F7" s="810" t="s">
        <v>1723</v>
      </c>
      <c r="G7" s="810" t="s">
        <v>1731</v>
      </c>
      <c r="H7" s="810" t="s">
        <v>1689</v>
      </c>
      <c r="I7" s="811" t="s">
        <v>1741</v>
      </c>
      <c r="J7" s="801"/>
      <c r="K7" s="1020" t="s">
        <v>283</v>
      </c>
      <c r="L7" s="1026" t="s">
        <v>1806</v>
      </c>
      <c r="M7" s="1021" t="s">
        <v>37</v>
      </c>
      <c r="N7" s="1022" t="s">
        <v>1730</v>
      </c>
      <c r="O7" s="1023" t="s">
        <v>1726</v>
      </c>
      <c r="P7" s="1024" t="s">
        <v>35</v>
      </c>
      <c r="Q7" s="1025" t="s">
        <v>1727</v>
      </c>
      <c r="R7" s="935"/>
      <c r="S7" s="822" t="s">
        <v>1699</v>
      </c>
      <c r="T7" s="822" t="s">
        <v>1700</v>
      </c>
      <c r="U7" s="822" t="s">
        <v>1701</v>
      </c>
      <c r="V7" s="822" t="s">
        <v>1813</v>
      </c>
      <c r="W7" s="823" t="s">
        <v>283</v>
      </c>
      <c r="X7" s="801"/>
      <c r="Y7" s="821" t="s">
        <v>1699</v>
      </c>
      <c r="Z7" s="822" t="s">
        <v>1704</v>
      </c>
      <c r="AA7" s="823" t="s">
        <v>283</v>
      </c>
      <c r="AB7" s="801"/>
      <c r="AC7" s="821" t="s">
        <v>1699</v>
      </c>
      <c r="AD7" s="822" t="s">
        <v>1704</v>
      </c>
      <c r="AE7" s="823" t="s">
        <v>283</v>
      </c>
      <c r="AF7" s="801"/>
      <c r="AG7" s="821" t="s">
        <v>1707</v>
      </c>
      <c r="AH7" s="822" t="s">
        <v>200</v>
      </c>
      <c r="AI7" s="823" t="s">
        <v>283</v>
      </c>
      <c r="AJ7" s="801"/>
      <c r="AK7" s="821" t="s">
        <v>1709</v>
      </c>
      <c r="AL7" s="822" t="s">
        <v>1728</v>
      </c>
      <c r="AM7" s="852" t="s">
        <v>1710</v>
      </c>
    </row>
    <row r="8" spans="1:39" ht="19">
      <c r="A8" s="921" t="s">
        <v>1740</v>
      </c>
      <c r="B8" s="799"/>
      <c r="C8" s="812"/>
      <c r="D8" s="812"/>
      <c r="E8" s="812"/>
      <c r="F8" s="812"/>
      <c r="G8" s="812"/>
      <c r="H8" s="812"/>
      <c r="I8" s="812"/>
      <c r="J8" s="801"/>
      <c r="K8" s="813"/>
      <c r="L8" s="813"/>
      <c r="M8" s="812"/>
      <c r="N8" s="812"/>
      <c r="O8" s="812"/>
      <c r="P8" s="812"/>
      <c r="Q8" s="812"/>
      <c r="R8" s="935"/>
      <c r="S8" s="930" t="s">
        <v>1740</v>
      </c>
      <c r="T8" s="868"/>
      <c r="U8" s="923"/>
      <c r="V8" s="801"/>
      <c r="W8" s="801"/>
      <c r="X8" s="801"/>
      <c r="Y8" s="801"/>
      <c r="Z8" s="801"/>
      <c r="AA8" s="801"/>
      <c r="AB8" s="801"/>
      <c r="AC8" s="801"/>
      <c r="AD8" s="801"/>
      <c r="AE8" s="801"/>
      <c r="AF8" s="801"/>
      <c r="AG8" s="801"/>
      <c r="AH8" s="801"/>
      <c r="AI8" s="801"/>
      <c r="AJ8" s="801"/>
      <c r="AK8" s="801"/>
      <c r="AL8" s="801"/>
      <c r="AM8" s="853"/>
    </row>
    <row r="9" spans="1:39">
      <c r="A9" s="864" t="s">
        <v>1724</v>
      </c>
      <c r="B9" s="808"/>
      <c r="C9" s="869">
        <f>Locomotives19!F37</f>
        <v>2.8160750344006593</v>
      </c>
      <c r="D9" s="870">
        <f>FreightEquipData!ED20</f>
        <v>74.766637862017191</v>
      </c>
      <c r="E9" s="870">
        <f>FreightEquipData!EE20</f>
        <v>5479.628643809353</v>
      </c>
      <c r="F9" s="870">
        <f>FreightEquipData!EF20</f>
        <v>3622.2326159372778</v>
      </c>
      <c r="G9" s="870">
        <f>F9/D9</f>
        <v>48.447178039785008</v>
      </c>
      <c r="H9" s="870">
        <f>FreightEquipData!EG20</f>
        <v>41.068129881081511</v>
      </c>
      <c r="I9" s="871">
        <f>FreightEquipData!EG15+FreightEquipData!EG17</f>
        <v>6.1191568295423213</v>
      </c>
      <c r="J9" s="802"/>
      <c r="K9" s="970">
        <f>SUM(M9:Q9)</f>
        <v>1063.5943900012549</v>
      </c>
      <c r="L9" s="1027">
        <f>K9-Q9</f>
        <v>545.90241550879921</v>
      </c>
      <c r="M9" s="1016">
        <f>W9</f>
        <v>190.83866378959095</v>
      </c>
      <c r="N9" s="983">
        <f>AA9</f>
        <v>183.60270291000791</v>
      </c>
      <c r="O9" s="991">
        <f>AE9</f>
        <v>13.996784370973629</v>
      </c>
      <c r="P9" s="999">
        <f>AI9</f>
        <v>157.46426443822685</v>
      </c>
      <c r="Q9" s="1007">
        <f>AM9</f>
        <v>517.69197449245564</v>
      </c>
      <c r="R9" s="936"/>
      <c r="S9" s="826">
        <f>Locomotives19!$B$17*C9</f>
        <v>124.97103691618616</v>
      </c>
      <c r="T9" s="826">
        <f>(Locomotives19!$B$50/24)*C9</f>
        <v>40.790872084965805</v>
      </c>
      <c r="U9" s="826">
        <f>Locomotives19!$B$46*C9</f>
        <v>25.076754788438993</v>
      </c>
      <c r="V9" s="826">
        <v>0</v>
      </c>
      <c r="W9" s="872">
        <f>SUM(S9:V9)</f>
        <v>190.83866378959095</v>
      </c>
      <c r="X9" s="844"/>
      <c r="Y9" s="828">
        <f>D9*FrtEquip19!$B$16</f>
        <v>84.667743067548216</v>
      </c>
      <c r="Z9" s="829">
        <f>D9*FrtEquip19!$B$51</f>
        <v>98.934959842459676</v>
      </c>
      <c r="AA9" s="873">
        <f>Y9+Z9</f>
        <v>183.60270291000791</v>
      </c>
      <c r="AB9" s="844"/>
      <c r="AC9" s="832">
        <f>$I9*FreightEquipData!$CE$6*FrtEquip19!$C$16</f>
        <v>10.752709501689855</v>
      </c>
      <c r="AD9" s="833">
        <f>$I9*FreightEquipData!$CE$6*FrtEquip19!$C$51</f>
        <v>3.2440748692837729</v>
      </c>
      <c r="AE9" s="874">
        <f>AC9+AD9</f>
        <v>13.996784370973629</v>
      </c>
      <c r="AF9" s="844"/>
      <c r="AG9" s="836">
        <f>Crew19!B11*Crew19!N13</f>
        <v>111.44756489364205</v>
      </c>
      <c r="AH9" s="837">
        <f>Crew19!$B$11*Crew19!$N$13*(Crew19!$B$14-1)</f>
        <v>46.01669954458481</v>
      </c>
      <c r="AI9" s="875">
        <f>AG9+AH9</f>
        <v>157.46426443822685</v>
      </c>
      <c r="AJ9" s="844"/>
      <c r="AK9" s="840">
        <f>AM9/F9</f>
        <v>0.14292068715153436</v>
      </c>
      <c r="AL9" s="824">
        <f>AM9/H9</f>
        <v>12.605686599109939</v>
      </c>
      <c r="AM9" s="876">
        <f>FreightEquipData!EH20</f>
        <v>517.69197449245564</v>
      </c>
    </row>
    <row r="10" spans="1:39">
      <c r="A10" s="865" t="s">
        <v>1725</v>
      </c>
      <c r="B10" s="808"/>
      <c r="C10" s="877">
        <f>Locomotives19!F37</f>
        <v>2.8160750344006593</v>
      </c>
      <c r="D10" s="878">
        <f>FreightEquipData!ED20</f>
        <v>74.766637862017191</v>
      </c>
      <c r="E10" s="878">
        <f>FreightEquipData!EE20</f>
        <v>5479.628643809353</v>
      </c>
      <c r="F10" s="878">
        <f>FreightEquipData!EF20</f>
        <v>3622.2326159372778</v>
      </c>
      <c r="G10" s="878">
        <f>F10/D10</f>
        <v>48.447178039785008</v>
      </c>
      <c r="H10" s="878">
        <f>FreightEquipData!EG20</f>
        <v>41.068129881081511</v>
      </c>
      <c r="I10" s="879">
        <f>FreightEquipData!EG15+FreightEquipData!EG17</f>
        <v>6.1191568295423213</v>
      </c>
      <c r="J10" s="802"/>
      <c r="K10" s="971">
        <f>SUM(M10:Q10)</f>
        <v>1258.7698808297391</v>
      </c>
      <c r="L10" s="1028">
        <f>K10-Q10</f>
        <v>741.07790633728348</v>
      </c>
      <c r="M10" s="1017">
        <f>W10</f>
        <v>386.01415461807528</v>
      </c>
      <c r="N10" s="984">
        <f>AA10</f>
        <v>183.60270291000791</v>
      </c>
      <c r="O10" s="992">
        <f>AE10</f>
        <v>13.996784370973629</v>
      </c>
      <c r="P10" s="1000">
        <f>AI10</f>
        <v>157.46426443822685</v>
      </c>
      <c r="Q10" s="1008">
        <f>AM10</f>
        <v>517.69197449245564</v>
      </c>
      <c r="R10" s="936"/>
      <c r="S10" s="827">
        <f>Locomotives19!$B$17*C10</f>
        <v>124.97103691618616</v>
      </c>
      <c r="T10" s="827">
        <f>(Locomotives19!$B$50/24)*C10</f>
        <v>40.790872084965805</v>
      </c>
      <c r="U10" s="827">
        <v>0</v>
      </c>
      <c r="V10" s="827">
        <f>C10*Locomotives19!$K$44</f>
        <v>220.25224561692332</v>
      </c>
      <c r="W10" s="880">
        <f>SUM(S10:V10)</f>
        <v>386.01415461807528</v>
      </c>
      <c r="X10" s="844"/>
      <c r="Y10" s="830">
        <f>D10*FrtEquip19!$B$16</f>
        <v>84.667743067548216</v>
      </c>
      <c r="Z10" s="831">
        <f>D10*FrtEquip19!$B$51</f>
        <v>98.934959842459676</v>
      </c>
      <c r="AA10" s="881">
        <f>Y10+Z10</f>
        <v>183.60270291000791</v>
      </c>
      <c r="AB10" s="844"/>
      <c r="AC10" s="834">
        <f>$I10*FreightEquipData!$CE$6*FrtEquip19!$C$16</f>
        <v>10.752709501689855</v>
      </c>
      <c r="AD10" s="835">
        <f>$I10*FreightEquipData!$CE$6*FrtEquip19!$C$51</f>
        <v>3.2440748692837729</v>
      </c>
      <c r="AE10" s="882">
        <f>AC10+AD10</f>
        <v>13.996784370973629</v>
      </c>
      <c r="AF10" s="844"/>
      <c r="AG10" s="838">
        <f>Crew19!B11*Crew19!N13</f>
        <v>111.44756489364205</v>
      </c>
      <c r="AH10" s="839">
        <f>Crew19!$B$11*Crew19!$N$13*(Crew19!$B$14-1)</f>
        <v>46.01669954458481</v>
      </c>
      <c r="AI10" s="883">
        <f>AG10+AH10</f>
        <v>157.46426443822685</v>
      </c>
      <c r="AJ10" s="844"/>
      <c r="AK10" s="841">
        <f>AM10/F10</f>
        <v>0.14292068715153436</v>
      </c>
      <c r="AL10" s="825">
        <f>AM10/H10</f>
        <v>12.605686599109939</v>
      </c>
      <c r="AM10" s="884">
        <f>FreightEquipData!EH20</f>
        <v>517.69197449245564</v>
      </c>
    </row>
    <row r="11" spans="1:39" ht="4" customHeight="1">
      <c r="A11" s="205"/>
      <c r="B11" s="808"/>
      <c r="C11" s="885"/>
      <c r="D11" s="803"/>
      <c r="E11" s="803"/>
      <c r="F11" s="803"/>
      <c r="G11" s="803"/>
      <c r="H11" s="803"/>
      <c r="I11" s="803"/>
      <c r="J11" s="803"/>
      <c r="K11" s="972"/>
      <c r="L11" s="1029"/>
      <c r="M11" s="979"/>
      <c r="N11" s="985"/>
      <c r="O11" s="993"/>
      <c r="P11" s="1001"/>
      <c r="Q11" s="1009"/>
      <c r="R11" s="937"/>
      <c r="S11" s="885"/>
      <c r="T11" s="885"/>
      <c r="U11" s="885"/>
      <c r="V11" s="885"/>
      <c r="W11" s="885"/>
      <c r="X11" s="885"/>
      <c r="Y11" s="885"/>
      <c r="Z11" s="885"/>
      <c r="AA11" s="885"/>
      <c r="AB11" s="885"/>
      <c r="AC11" s="885"/>
      <c r="AD11" s="885"/>
      <c r="AE11" s="885"/>
      <c r="AF11" s="885"/>
      <c r="AG11" s="885"/>
      <c r="AH11" s="885"/>
      <c r="AI11" s="885"/>
      <c r="AJ11" s="885"/>
      <c r="AK11" s="46"/>
      <c r="AL11" s="46"/>
      <c r="AM11" s="886"/>
    </row>
    <row r="12" spans="1:39">
      <c r="A12" s="864" t="s">
        <v>1732</v>
      </c>
      <c r="B12" s="808"/>
      <c r="C12" s="869">
        <f>Locomotives19!F34</f>
        <v>3.1061731211319832</v>
      </c>
      <c r="D12" s="870">
        <f>FreightEquipData!EJ10</f>
        <v>108.88515437134552</v>
      </c>
      <c r="E12" s="870">
        <f>FreightEquipData!EL10</f>
        <v>6183.1578590945792</v>
      </c>
      <c r="F12" s="870">
        <f>FreightEquipData!EM10</f>
        <v>11107.392220924597</v>
      </c>
      <c r="G12" s="870">
        <f>F12/D12</f>
        <v>102.01016185405386</v>
      </c>
      <c r="H12" s="870">
        <f>FreightEquipData!EK10</f>
        <v>108.88515437134552</v>
      </c>
      <c r="I12" s="871">
        <v>0</v>
      </c>
      <c r="J12" s="802"/>
      <c r="K12" s="970">
        <f>SUM(M12:Q12)</f>
        <v>954.62866343414555</v>
      </c>
      <c r="L12" s="1027">
        <f>K12-Q12</f>
        <v>627.71088367494292</v>
      </c>
      <c r="M12" s="1016">
        <f>W12</f>
        <v>210.49791667292376</v>
      </c>
      <c r="N12" s="983">
        <f>AA12</f>
        <v>267.38675458761799</v>
      </c>
      <c r="O12" s="991">
        <f>AE12</f>
        <v>0</v>
      </c>
      <c r="P12" s="999">
        <f>AI12</f>
        <v>149.82621241440123</v>
      </c>
      <c r="Q12" s="1007">
        <f>AM12</f>
        <v>326.91777975920263</v>
      </c>
      <c r="R12" s="936"/>
      <c r="S12" s="826">
        <f>Locomotives19!$B$17*C12</f>
        <v>137.84493347907767</v>
      </c>
      <c r="T12" s="826">
        <f>(Locomotives19!$B$50/24)*C12</f>
        <v>44.9929454684505</v>
      </c>
      <c r="U12" s="826">
        <f>Locomotives19!$B$46*C12</f>
        <v>27.660037725395604</v>
      </c>
      <c r="V12" s="826">
        <v>0</v>
      </c>
      <c r="W12" s="872">
        <f>SUM(S12:V12)</f>
        <v>210.49791667292376</v>
      </c>
      <c r="X12" s="844"/>
      <c r="Y12" s="828">
        <f>D12*FrtEquip19!$B$16</f>
        <v>123.30446490314708</v>
      </c>
      <c r="Z12" s="829">
        <f>D12*FrtEquip19!$B$51</f>
        <v>144.08228968447091</v>
      </c>
      <c r="AA12" s="873">
        <f>Y12+Z12</f>
        <v>267.38675458761799</v>
      </c>
      <c r="AB12" s="844"/>
      <c r="AC12" s="832">
        <v>0</v>
      </c>
      <c r="AD12" s="833">
        <v>0</v>
      </c>
      <c r="AE12" s="874">
        <f>AC12+AD12</f>
        <v>0</v>
      </c>
      <c r="AF12" s="844"/>
      <c r="AG12" s="836">
        <f>Crew19!$B$11*Crew19!$N$9</f>
        <v>106.0416253198395</v>
      </c>
      <c r="AH12" s="837">
        <f>Crew19!$B$11*Crew19!$N$9*(Crew19!$B$14-1)</f>
        <v>43.784587094561736</v>
      </c>
      <c r="AI12" s="875">
        <f>AG12+AH12</f>
        <v>149.82621241440123</v>
      </c>
      <c r="AJ12" s="844"/>
      <c r="AK12" s="840">
        <f>AM12/F12</f>
        <v>2.9432451223189944E-2</v>
      </c>
      <c r="AL12" s="824">
        <f>AM12/H12</f>
        <v>3.0024091130391519</v>
      </c>
      <c r="AM12" s="876">
        <f>FreightEquipData!EN10</f>
        <v>326.91777975920263</v>
      </c>
    </row>
    <row r="13" spans="1:39">
      <c r="A13" s="866" t="s">
        <v>1733</v>
      </c>
      <c r="B13" s="808"/>
      <c r="C13" s="887">
        <f>Locomotives19!F34</f>
        <v>3.1061731211319832</v>
      </c>
      <c r="D13" s="888">
        <f>FreightEquipData!EJ10</f>
        <v>108.88515437134552</v>
      </c>
      <c r="E13" s="888">
        <f>FreightEquipData!EL10</f>
        <v>6183.1578590945792</v>
      </c>
      <c r="F13" s="888">
        <f>FreightEquipData!EM10</f>
        <v>11107.392220924597</v>
      </c>
      <c r="G13" s="888">
        <f>F13/D13</f>
        <v>102.01016185405386</v>
      </c>
      <c r="H13" s="888">
        <f>FreightEquipData!EK10</f>
        <v>108.88515437134552</v>
      </c>
      <c r="I13" s="889">
        <v>0</v>
      </c>
      <c r="J13" s="802"/>
      <c r="K13" s="973">
        <f>SUM(M13:Q13)</f>
        <v>1169.9101655636537</v>
      </c>
      <c r="L13" s="1030">
        <f>K13-Q13</f>
        <v>842.99238580445103</v>
      </c>
      <c r="M13" s="1018">
        <f>W13</f>
        <v>425.77941880243179</v>
      </c>
      <c r="N13" s="986">
        <f>AA13</f>
        <v>267.38675458761799</v>
      </c>
      <c r="O13" s="994">
        <f>AE13</f>
        <v>0</v>
      </c>
      <c r="P13" s="1002">
        <f>AI13</f>
        <v>149.82621241440123</v>
      </c>
      <c r="Q13" s="1010">
        <f>AM13</f>
        <v>326.91777975920263</v>
      </c>
      <c r="R13" s="936"/>
      <c r="S13" s="851">
        <f>Locomotives19!$B$17*C13</f>
        <v>137.84493347907767</v>
      </c>
      <c r="T13" s="851">
        <f>(Locomotives19!$B$50/24)*C13</f>
        <v>44.9929454684505</v>
      </c>
      <c r="U13" s="851">
        <v>0</v>
      </c>
      <c r="V13" s="851">
        <f>C13*Locomotives19!$K$44</f>
        <v>242.94153985490362</v>
      </c>
      <c r="W13" s="890">
        <f>SUM(S13:V13)</f>
        <v>425.77941880243179</v>
      </c>
      <c r="X13" s="844"/>
      <c r="Y13" s="849">
        <f>D13*FrtEquip19!$B$16</f>
        <v>123.30446490314708</v>
      </c>
      <c r="Z13" s="850">
        <f>D13*FrtEquip19!$B$51</f>
        <v>144.08228968447091</v>
      </c>
      <c r="AA13" s="891">
        <f>Y13+Z13</f>
        <v>267.38675458761799</v>
      </c>
      <c r="AB13" s="844"/>
      <c r="AC13" s="847">
        <v>0</v>
      </c>
      <c r="AD13" s="848">
        <v>0</v>
      </c>
      <c r="AE13" s="892">
        <f>AC13+AD13</f>
        <v>0</v>
      </c>
      <c r="AF13" s="844"/>
      <c r="AG13" s="845">
        <f>Crew19!$B$11*Crew19!$N$9</f>
        <v>106.0416253198395</v>
      </c>
      <c r="AH13" s="846">
        <f>Crew19!$B$11*Crew19!$N$9*(Crew19!$B$14-1)</f>
        <v>43.784587094561736</v>
      </c>
      <c r="AI13" s="893">
        <f>AG13+AH13</f>
        <v>149.82621241440123</v>
      </c>
      <c r="AJ13" s="844"/>
      <c r="AK13" s="842">
        <f>AM13/F13</f>
        <v>2.9432451223189944E-2</v>
      </c>
      <c r="AL13" s="843">
        <f>AM13/H13</f>
        <v>3.0024091130391519</v>
      </c>
      <c r="AM13" s="894">
        <f>FreightEquipData!EN10</f>
        <v>326.91777975920263</v>
      </c>
    </row>
    <row r="14" spans="1:39">
      <c r="A14" s="866" t="s">
        <v>1734</v>
      </c>
      <c r="B14" s="808"/>
      <c r="C14" s="887">
        <f>Locomotives19!F34</f>
        <v>3.1061731211319832</v>
      </c>
      <c r="D14" s="888">
        <f>FreightEquipData!EJ10</f>
        <v>108.88515437134552</v>
      </c>
      <c r="E14" s="888">
        <f>FreightEquipData!EL10</f>
        <v>6183.1578590945792</v>
      </c>
      <c r="F14" s="888">
        <v>0</v>
      </c>
      <c r="G14" s="888">
        <v>0</v>
      </c>
      <c r="H14" s="888">
        <v>0</v>
      </c>
      <c r="I14" s="889">
        <v>0</v>
      </c>
      <c r="J14" s="802"/>
      <c r="K14" s="973">
        <f>SUM(M14:Q14)</f>
        <v>627.71088367494292</v>
      </c>
      <c r="L14" s="1030">
        <f>K14-Q14</f>
        <v>627.71088367494292</v>
      </c>
      <c r="M14" s="1018">
        <f>W14</f>
        <v>210.49791667292376</v>
      </c>
      <c r="N14" s="986">
        <f>AA14</f>
        <v>267.38675458761799</v>
      </c>
      <c r="O14" s="994">
        <f>AE14</f>
        <v>0</v>
      </c>
      <c r="P14" s="1002">
        <f>AI14</f>
        <v>149.82621241440123</v>
      </c>
      <c r="Q14" s="1010">
        <f>AM14</f>
        <v>0</v>
      </c>
      <c r="R14" s="936"/>
      <c r="S14" s="851">
        <f>Locomotives19!$B$17*C14</f>
        <v>137.84493347907767</v>
      </c>
      <c r="T14" s="851">
        <f>(Locomotives19!$B$50/24)*C14</f>
        <v>44.9929454684505</v>
      </c>
      <c r="U14" s="851">
        <f>Locomotives19!$B$46*C14</f>
        <v>27.660037725395604</v>
      </c>
      <c r="V14" s="851">
        <v>0</v>
      </c>
      <c r="W14" s="890">
        <f>SUM(S14:V14)</f>
        <v>210.49791667292376</v>
      </c>
      <c r="X14" s="844"/>
      <c r="Y14" s="849">
        <f>D14*FrtEquip19!$B$16</f>
        <v>123.30446490314708</v>
      </c>
      <c r="Z14" s="850">
        <f>D14*FrtEquip19!$B$51</f>
        <v>144.08228968447091</v>
      </c>
      <c r="AA14" s="891">
        <f>Y14+Z14</f>
        <v>267.38675458761799</v>
      </c>
      <c r="AB14" s="844"/>
      <c r="AC14" s="847">
        <v>0</v>
      </c>
      <c r="AD14" s="848">
        <v>0</v>
      </c>
      <c r="AE14" s="892">
        <f>AC14+AD14</f>
        <v>0</v>
      </c>
      <c r="AF14" s="844"/>
      <c r="AG14" s="845">
        <f>Crew19!$B$11*Crew19!$N$9</f>
        <v>106.0416253198395</v>
      </c>
      <c r="AH14" s="846">
        <f>Crew19!$B$11*Crew19!$N$9*(Crew19!$B$14-1)</f>
        <v>43.784587094561736</v>
      </c>
      <c r="AI14" s="893">
        <f>AG14+AH14</f>
        <v>149.82621241440123</v>
      </c>
      <c r="AJ14" s="844"/>
      <c r="AK14" s="842">
        <v>0</v>
      </c>
      <c r="AL14" s="843">
        <v>0</v>
      </c>
      <c r="AM14" s="894">
        <v>0</v>
      </c>
    </row>
    <row r="15" spans="1:39">
      <c r="A15" s="865" t="s">
        <v>1735</v>
      </c>
      <c r="B15" s="808"/>
      <c r="C15" s="877">
        <f>Locomotives19!F34</f>
        <v>3.1061731211319832</v>
      </c>
      <c r="D15" s="878">
        <f>FreightEquipData!EJ10</f>
        <v>108.88515437134552</v>
      </c>
      <c r="E15" s="878">
        <f>FreightEquipData!EL10</f>
        <v>6183.1578590945792</v>
      </c>
      <c r="F15" s="878">
        <v>0</v>
      </c>
      <c r="G15" s="878">
        <v>0</v>
      </c>
      <c r="H15" s="878">
        <v>0</v>
      </c>
      <c r="I15" s="879">
        <v>0</v>
      </c>
      <c r="J15" s="802"/>
      <c r="K15" s="971">
        <f>SUM(M15:Q15)</f>
        <v>842.99238580445103</v>
      </c>
      <c r="L15" s="1028">
        <f>K15-Q15</f>
        <v>842.99238580445103</v>
      </c>
      <c r="M15" s="1017">
        <f>W15</f>
        <v>425.77941880243179</v>
      </c>
      <c r="N15" s="984">
        <f>AA15</f>
        <v>267.38675458761799</v>
      </c>
      <c r="O15" s="992">
        <f>AE15</f>
        <v>0</v>
      </c>
      <c r="P15" s="1000">
        <f>AI15</f>
        <v>149.82621241440123</v>
      </c>
      <c r="Q15" s="1008">
        <f>AM15</f>
        <v>0</v>
      </c>
      <c r="R15" s="936"/>
      <c r="S15" s="827">
        <f>Locomotives19!$B$17*C15</f>
        <v>137.84493347907767</v>
      </c>
      <c r="T15" s="827">
        <f>(Locomotives19!$B$50/24)*C15</f>
        <v>44.9929454684505</v>
      </c>
      <c r="U15" s="827">
        <v>0</v>
      </c>
      <c r="V15" s="827">
        <f>C15*Locomotives19!$K$44</f>
        <v>242.94153985490362</v>
      </c>
      <c r="W15" s="880">
        <f>SUM(S15:V15)</f>
        <v>425.77941880243179</v>
      </c>
      <c r="X15" s="844"/>
      <c r="Y15" s="830">
        <f>D15*FrtEquip19!$B$16</f>
        <v>123.30446490314708</v>
      </c>
      <c r="Z15" s="831">
        <f>D15*FrtEquip19!$B$51</f>
        <v>144.08228968447091</v>
      </c>
      <c r="AA15" s="881">
        <f>Y15+Z15</f>
        <v>267.38675458761799</v>
      </c>
      <c r="AB15" s="844"/>
      <c r="AC15" s="834">
        <v>0</v>
      </c>
      <c r="AD15" s="835">
        <v>0</v>
      </c>
      <c r="AE15" s="882">
        <f>AC15+AD15</f>
        <v>0</v>
      </c>
      <c r="AF15" s="844"/>
      <c r="AG15" s="838">
        <f>Crew19!$B$11*Crew19!$N$9</f>
        <v>106.0416253198395</v>
      </c>
      <c r="AH15" s="839">
        <f>Crew19!$B$11*Crew19!$N$9*(Crew19!$B$14-1)</f>
        <v>43.784587094561736</v>
      </c>
      <c r="AI15" s="883">
        <f>AG15+AH15</f>
        <v>149.82621241440123</v>
      </c>
      <c r="AJ15" s="844"/>
      <c r="AK15" s="841">
        <v>0</v>
      </c>
      <c r="AL15" s="825">
        <v>0</v>
      </c>
      <c r="AM15" s="884">
        <v>0</v>
      </c>
    </row>
    <row r="16" spans="1:39" ht="4" customHeight="1">
      <c r="A16" s="205"/>
      <c r="B16" s="808"/>
      <c r="C16" s="885"/>
      <c r="D16" s="803"/>
      <c r="E16" s="803"/>
      <c r="F16" s="803"/>
      <c r="G16" s="803"/>
      <c r="H16" s="803"/>
      <c r="I16" s="803"/>
      <c r="J16" s="803"/>
      <c r="K16" s="974"/>
      <c r="L16" s="1031"/>
      <c r="M16" s="980"/>
      <c r="N16" s="987"/>
      <c r="O16" s="995"/>
      <c r="P16" s="1003"/>
      <c r="Q16" s="1011"/>
      <c r="R16" s="937"/>
      <c r="S16" s="885"/>
      <c r="T16" s="885"/>
      <c r="U16" s="885"/>
      <c r="V16" s="885"/>
      <c r="W16" s="885"/>
      <c r="X16" s="885"/>
      <c r="Y16" s="885"/>
      <c r="Z16" s="885"/>
      <c r="AA16" s="885"/>
      <c r="AB16" s="885"/>
      <c r="AC16" s="885"/>
      <c r="AD16" s="885"/>
      <c r="AE16" s="885"/>
      <c r="AF16" s="885"/>
      <c r="AG16" s="885"/>
      <c r="AH16" s="885"/>
      <c r="AI16" s="885"/>
      <c r="AJ16" s="885"/>
      <c r="AK16" s="46"/>
      <c r="AL16" s="46"/>
      <c r="AM16" s="886"/>
    </row>
    <row r="17" spans="1:39">
      <c r="A17" s="918" t="s">
        <v>1736</v>
      </c>
      <c r="B17" s="808"/>
      <c r="C17" s="869">
        <f>Locomotives19!F36</f>
        <v>2.8598379334087625</v>
      </c>
      <c r="D17" s="870">
        <f>FreightEquipData!EP18</f>
        <v>68.521910232126146</v>
      </c>
      <c r="E17" s="870">
        <f>FreightEquipData!EQ18</f>
        <v>5537.3533848626294</v>
      </c>
      <c r="F17" s="870">
        <f>FreightEquipData!ER18</f>
        <v>3097.0818721251503</v>
      </c>
      <c r="G17" s="870">
        <f>F17/D17</f>
        <v>45.198416997328536</v>
      </c>
      <c r="H17" s="870">
        <f>FreightEquipData!ES18</f>
        <v>38.996505862659305</v>
      </c>
      <c r="I17" s="871">
        <f>FreightEquipData!ES13+FreightEquipData!ES15</f>
        <v>7.6956229781878092</v>
      </c>
      <c r="J17" s="802"/>
      <c r="K17" s="970">
        <f>SUM(M17:Q17)</f>
        <v>1265.5660174531106</v>
      </c>
      <c r="L17" s="1027">
        <f>K17-Q17</f>
        <v>529.50100080988318</v>
      </c>
      <c r="M17" s="1016">
        <f>W17</f>
        <v>193.80437069308005</v>
      </c>
      <c r="N17" s="983">
        <f>AA17</f>
        <v>168.2676697378493</v>
      </c>
      <c r="O17" s="991">
        <f>AE17</f>
        <v>17.602747964552663</v>
      </c>
      <c r="P17" s="999">
        <f>AI17</f>
        <v>149.82621241440123</v>
      </c>
      <c r="Q17" s="1007">
        <f>AM17</f>
        <v>736.06501664322741</v>
      </c>
      <c r="R17" s="936"/>
      <c r="S17" s="826">
        <f>Locomotives19!$B$17*C17</f>
        <v>126.91313533355485</v>
      </c>
      <c r="T17" s="826">
        <f>(Locomotives19!$B$50/24)*C17</f>
        <v>41.424778068897353</v>
      </c>
      <c r="U17" s="826">
        <f>Locomotives19!$B$46*C17</f>
        <v>25.466457290627822</v>
      </c>
      <c r="V17" s="826">
        <v>0</v>
      </c>
      <c r="W17" s="872">
        <f>SUM(S17:V17)</f>
        <v>193.80437069308005</v>
      </c>
      <c r="X17" s="844"/>
      <c r="Y17" s="828">
        <f>D17*FrtEquip19!$B$16</f>
        <v>77.59604625713115</v>
      </c>
      <c r="Z17" s="829">
        <f>D17*FrtEquip19!$B$51</f>
        <v>90.671623480718139</v>
      </c>
      <c r="AA17" s="873">
        <f>Y17+Z17</f>
        <v>168.2676697378493</v>
      </c>
      <c r="AB17" s="844"/>
      <c r="AC17" s="832">
        <f>$I17*FreightEquipData!$CE$6*FrtEquip19!$C$16</f>
        <v>13.522908567972095</v>
      </c>
      <c r="AD17" s="833">
        <f>$I17*FreightEquipData!$CE$6*FrtEquip19!$C$51</f>
        <v>4.079839396580569</v>
      </c>
      <c r="AE17" s="874">
        <f>AC17+AD17</f>
        <v>17.602747964552663</v>
      </c>
      <c r="AF17" s="844"/>
      <c r="AG17" s="836">
        <f>Crew19!$B$11*Crew19!$N$10</f>
        <v>106.0416253198395</v>
      </c>
      <c r="AH17" s="837">
        <f>Crew19!$B$11*Crew19!$N$10*(Crew19!$B$14-1)</f>
        <v>43.784587094561736</v>
      </c>
      <c r="AI17" s="875">
        <f>AG17+AH17</f>
        <v>149.82621241440123</v>
      </c>
      <c r="AJ17" s="844"/>
      <c r="AK17" s="840">
        <f>AM17/F17</f>
        <v>0.23766404862205195</v>
      </c>
      <c r="AL17" s="824">
        <f>AM17/H17</f>
        <v>18.875153051803</v>
      </c>
      <c r="AM17" s="876">
        <f>FreightEquipData!ET18</f>
        <v>736.06501664322741</v>
      </c>
    </row>
    <row r="18" spans="1:39">
      <c r="A18" s="919" t="s">
        <v>1739</v>
      </c>
      <c r="B18" s="808"/>
      <c r="C18" s="877">
        <f>Locomotives19!F36</f>
        <v>2.8598379334087625</v>
      </c>
      <c r="D18" s="878">
        <f>FreightEquipData!EP18</f>
        <v>68.521910232126146</v>
      </c>
      <c r="E18" s="878">
        <f>FreightEquipData!EQ18</f>
        <v>5537.3533848626294</v>
      </c>
      <c r="F18" s="878">
        <f>FreightEquipData!ER18</f>
        <v>3097.0818721251503</v>
      </c>
      <c r="G18" s="878">
        <f>F18/D18</f>
        <v>45.198416997328536</v>
      </c>
      <c r="H18" s="878">
        <f>FreightEquipData!ES18</f>
        <v>38.996505862659305</v>
      </c>
      <c r="I18" s="879">
        <f>FreightEquipData!ES13+FreightEquipData!ES15</f>
        <v>7.6956229781878092</v>
      </c>
      <c r="J18" s="802"/>
      <c r="K18" s="971">
        <f>SUM(M18:Q18)</f>
        <v>1463.7746111604754</v>
      </c>
      <c r="L18" s="1028">
        <f>K18-Q18</f>
        <v>727.70959451724798</v>
      </c>
      <c r="M18" s="1017">
        <f>W18</f>
        <v>392.01296440044479</v>
      </c>
      <c r="N18" s="984">
        <f>AA18</f>
        <v>168.2676697378493</v>
      </c>
      <c r="O18" s="992">
        <f>AE18</f>
        <v>17.602747964552663</v>
      </c>
      <c r="P18" s="1000">
        <f>AI18</f>
        <v>149.82621241440123</v>
      </c>
      <c r="Q18" s="1012">
        <f>AM18</f>
        <v>736.06501664322741</v>
      </c>
      <c r="R18" s="936"/>
      <c r="S18" s="827">
        <f>Locomotives19!$B$17*C18</f>
        <v>126.91313533355485</v>
      </c>
      <c r="T18" s="827">
        <f>(Locomotives19!$B$50/24)*C18</f>
        <v>41.424778068897353</v>
      </c>
      <c r="U18" s="827">
        <v>0</v>
      </c>
      <c r="V18" s="827">
        <f>C18*Locomotives19!$K$44</f>
        <v>223.67505099799257</v>
      </c>
      <c r="W18" s="880">
        <f>SUM(S18:V18)</f>
        <v>392.01296440044479</v>
      </c>
      <c r="X18" s="844"/>
      <c r="Y18" s="830">
        <f>D18*FrtEquip19!$B$16</f>
        <v>77.59604625713115</v>
      </c>
      <c r="Z18" s="831">
        <f>D18*FrtEquip19!$B$51</f>
        <v>90.671623480718139</v>
      </c>
      <c r="AA18" s="881">
        <f>Y18+Z18</f>
        <v>168.2676697378493</v>
      </c>
      <c r="AB18" s="844"/>
      <c r="AC18" s="834">
        <f>$I18*FreightEquipData!$CE$6*FrtEquip19!$C$16</f>
        <v>13.522908567972095</v>
      </c>
      <c r="AD18" s="835">
        <f>$I18*FreightEquipData!$CE$6*FrtEquip19!$C$51</f>
        <v>4.079839396580569</v>
      </c>
      <c r="AE18" s="882">
        <f>AC18+AD18</f>
        <v>17.602747964552663</v>
      </c>
      <c r="AF18" s="844"/>
      <c r="AG18" s="838">
        <f>Crew19!$B$11*Crew19!$N$10</f>
        <v>106.0416253198395</v>
      </c>
      <c r="AH18" s="839">
        <f>Crew19!$B$11*Crew19!$N$10*(Crew19!$B$14-1)</f>
        <v>43.784587094561736</v>
      </c>
      <c r="AI18" s="883">
        <f>AG18+AH18</f>
        <v>149.82621241440123</v>
      </c>
      <c r="AJ18" s="844"/>
      <c r="AK18" s="841">
        <f>AM18/F18</f>
        <v>0.23766404862205195</v>
      </c>
      <c r="AL18" s="825">
        <f>AM18/H18</f>
        <v>18.875153051803</v>
      </c>
      <c r="AM18" s="884">
        <f>FreightEquipData!ET18</f>
        <v>736.06501664322741</v>
      </c>
    </row>
    <row r="19" spans="1:39" ht="4" customHeight="1">
      <c r="A19" s="917"/>
      <c r="B19" s="808"/>
      <c r="C19" s="885"/>
      <c r="D19" s="803"/>
      <c r="E19" s="803"/>
      <c r="F19" s="803"/>
      <c r="G19" s="803"/>
      <c r="H19" s="803"/>
      <c r="I19" s="803"/>
      <c r="J19" s="803"/>
      <c r="K19" s="972"/>
      <c r="L19" s="1029"/>
      <c r="M19" s="979"/>
      <c r="N19" s="985"/>
      <c r="O19" s="993"/>
      <c r="P19" s="1001"/>
      <c r="Q19" s="1009"/>
      <c r="R19" s="937"/>
      <c r="S19" s="885"/>
      <c r="T19" s="885"/>
      <c r="U19" s="885"/>
      <c r="V19" s="885"/>
      <c r="W19" s="885"/>
      <c r="X19" s="885"/>
      <c r="Y19" s="885"/>
      <c r="Z19" s="885"/>
      <c r="AA19" s="885"/>
      <c r="AB19" s="885"/>
      <c r="AC19" s="885"/>
      <c r="AD19" s="885"/>
      <c r="AE19" s="885"/>
      <c r="AF19" s="885"/>
      <c r="AG19" s="885"/>
      <c r="AH19" s="885"/>
      <c r="AI19" s="885"/>
      <c r="AJ19" s="885"/>
      <c r="AK19" s="46"/>
      <c r="AL19" s="46"/>
      <c r="AM19" s="886"/>
    </row>
    <row r="20" spans="1:39">
      <c r="A20" s="918" t="s">
        <v>1737</v>
      </c>
      <c r="B20" s="808"/>
      <c r="C20" s="869">
        <f>Locomotives19!F35</f>
        <v>1.8090242622717929</v>
      </c>
      <c r="D20" s="870">
        <f>FreightEquipData!FB16</f>
        <v>27.918460519142087</v>
      </c>
      <c r="E20" s="870">
        <f>FreightEquipData!FC16</f>
        <v>1767.0315383855207</v>
      </c>
      <c r="F20" s="870">
        <f>FreightEquipData!FD16</f>
        <v>1203.1838383328331</v>
      </c>
      <c r="G20" s="870">
        <f>F20/H20</f>
        <v>82.853839063241296</v>
      </c>
      <c r="H20" s="870">
        <f>FreightEquipData!FE16</f>
        <v>14.521763287449579</v>
      </c>
      <c r="I20" s="871">
        <v>0</v>
      </c>
      <c r="J20" s="802"/>
      <c r="K20" s="970">
        <f>SUM(M20:Q20)</f>
        <v>624.95551230201932</v>
      </c>
      <c r="L20" s="1027">
        <f>K20-Q20</f>
        <v>415.89127994104405</v>
      </c>
      <c r="M20" s="1016">
        <f>W20</f>
        <v>122.59324370182297</v>
      </c>
      <c r="N20" s="983">
        <f>AA20</f>
        <v>68.558717617619152</v>
      </c>
      <c r="O20" s="991">
        <f>AE20</f>
        <v>0</v>
      </c>
      <c r="P20" s="999">
        <f>AI20</f>
        <v>224.73931862160185</v>
      </c>
      <c r="Q20" s="1007">
        <f>AM20</f>
        <v>209.06423236097527</v>
      </c>
      <c r="R20" s="936"/>
      <c r="S20" s="826">
        <f>Locomotives19!$B$17*C20</f>
        <v>80.280402723984935</v>
      </c>
      <c r="T20" s="826">
        <f>(Locomotives19!$B$50/24)*C20</f>
        <v>26.203732634785176</v>
      </c>
      <c r="U20" s="826">
        <f>Locomotives19!$B$46*C20</f>
        <v>16.109108343052849</v>
      </c>
      <c r="V20" s="826">
        <v>0</v>
      </c>
      <c r="W20" s="872">
        <f>SUM(S20:V20)</f>
        <v>122.59324370182297</v>
      </c>
      <c r="X20" s="844"/>
      <c r="Y20" s="828">
        <f>D20*FrtEquip19!$B$16</f>
        <v>31.615612386351007</v>
      </c>
      <c r="Z20" s="829">
        <f>D20*FrtEquip19!$B$51</f>
        <v>36.943105231268149</v>
      </c>
      <c r="AA20" s="873">
        <f>Y20+Z20</f>
        <v>68.558717617619152</v>
      </c>
      <c r="AB20" s="844"/>
      <c r="AC20" s="832">
        <v>0</v>
      </c>
      <c r="AD20" s="833">
        <v>0</v>
      </c>
      <c r="AE20" s="874">
        <f>AC20+AD20</f>
        <v>0</v>
      </c>
      <c r="AF20" s="844"/>
      <c r="AG20" s="836">
        <f>Crew19!$B$11*Crew19!$N$8</f>
        <v>159.06243797975924</v>
      </c>
      <c r="AH20" s="837">
        <f>Crew19!$B$11*Crew19!$N$8*(Crew19!$B$14-1)</f>
        <v>65.676880641842601</v>
      </c>
      <c r="AI20" s="875">
        <f>AG20+AH20</f>
        <v>224.73931862160185</v>
      </c>
      <c r="AJ20" s="844"/>
      <c r="AK20" s="840">
        <f>AM20/F20</f>
        <v>0.17375917602970864</v>
      </c>
      <c r="AL20" s="824">
        <f>AM20/H20</f>
        <v>14.396614806526895</v>
      </c>
      <c r="AM20" s="876">
        <f>FreightEquipData!FF16</f>
        <v>209.06423236097527</v>
      </c>
    </row>
    <row r="21" spans="1:39" ht="17" thickBot="1">
      <c r="A21" s="920" t="s">
        <v>1738</v>
      </c>
      <c r="B21" s="817"/>
      <c r="C21" s="895">
        <f>Locomotives19!F35</f>
        <v>1.8090242622717929</v>
      </c>
      <c r="D21" s="896">
        <f>FreightEquipData!FB16</f>
        <v>27.918460519142087</v>
      </c>
      <c r="E21" s="896">
        <f>FreightEquipData!FC16</f>
        <v>1767.0315383855207</v>
      </c>
      <c r="F21" s="896">
        <f>FreightEquipData!FD16</f>
        <v>1203.1838383328331</v>
      </c>
      <c r="G21" s="896">
        <f>F21/H21</f>
        <v>82.853839063241296</v>
      </c>
      <c r="H21" s="896">
        <f>FreightEquipData!FE16</f>
        <v>14.521763287449579</v>
      </c>
      <c r="I21" s="897">
        <v>0</v>
      </c>
      <c r="J21" s="818"/>
      <c r="K21" s="975">
        <f>SUM(M21:Q21)</f>
        <v>750.33469928972636</v>
      </c>
      <c r="L21" s="1032">
        <f>K21-Q21</f>
        <v>541.27046692875115</v>
      </c>
      <c r="M21" s="1019">
        <f>W21</f>
        <v>247.97243068953006</v>
      </c>
      <c r="N21" s="988">
        <f>AA21</f>
        <v>68.558717617619152</v>
      </c>
      <c r="O21" s="996">
        <f>AE21</f>
        <v>0</v>
      </c>
      <c r="P21" s="1004">
        <f>AI21</f>
        <v>224.73931862160185</v>
      </c>
      <c r="Q21" s="1013">
        <f>AM21</f>
        <v>209.06423236097527</v>
      </c>
      <c r="R21" s="936"/>
      <c r="S21" s="854">
        <f>Locomotives19!$B$17*C21</f>
        <v>80.280402723984935</v>
      </c>
      <c r="T21" s="854">
        <f>(Locomotives19!$B$50/24)*C21</f>
        <v>26.203732634785176</v>
      </c>
      <c r="U21" s="854">
        <v>0</v>
      </c>
      <c r="V21" s="854">
        <f>C21*Locomotives19!$K$44</f>
        <v>141.48829533075994</v>
      </c>
      <c r="W21" s="898">
        <f>SUM(S21:V21)</f>
        <v>247.97243068953006</v>
      </c>
      <c r="X21" s="855"/>
      <c r="Y21" s="856">
        <f>D21*FrtEquip19!$B$16</f>
        <v>31.615612386351007</v>
      </c>
      <c r="Z21" s="857">
        <f>D21*FrtEquip19!$B$51</f>
        <v>36.943105231268149</v>
      </c>
      <c r="AA21" s="899">
        <f>Y21+Z21</f>
        <v>68.558717617619152</v>
      </c>
      <c r="AB21" s="855"/>
      <c r="AC21" s="858">
        <v>0</v>
      </c>
      <c r="AD21" s="859">
        <v>0</v>
      </c>
      <c r="AE21" s="900">
        <f>AC21+AD21</f>
        <v>0</v>
      </c>
      <c r="AF21" s="855"/>
      <c r="AG21" s="860">
        <f>Crew19!$B$11*Crew19!$N$8</f>
        <v>159.06243797975924</v>
      </c>
      <c r="AH21" s="861">
        <f>Crew19!$B$11*Crew19!$N$8*(Crew19!$B$14-1)</f>
        <v>65.676880641842601</v>
      </c>
      <c r="AI21" s="901">
        <f>AG21+AH21</f>
        <v>224.73931862160185</v>
      </c>
      <c r="AJ21" s="855"/>
      <c r="AK21" s="862">
        <f>AM21/F21</f>
        <v>0.17375917602970864</v>
      </c>
      <c r="AL21" s="863">
        <f>AM21/H21</f>
        <v>14.396614806526895</v>
      </c>
      <c r="AM21" s="902">
        <f>FreightEquipData!FF16</f>
        <v>209.06423236097527</v>
      </c>
    </row>
    <row r="22" spans="1:39" ht="4" customHeight="1" thickBot="1">
      <c r="C22" s="903"/>
      <c r="D22" s="903"/>
      <c r="E22" s="903"/>
      <c r="F22" s="903"/>
      <c r="G22" s="903"/>
      <c r="H22" s="903"/>
      <c r="I22" s="903"/>
      <c r="J22" s="885"/>
      <c r="K22" s="976"/>
      <c r="L22" s="1033"/>
      <c r="M22" s="981"/>
      <c r="N22" s="989"/>
      <c r="O22" s="997"/>
      <c r="P22" s="1005"/>
      <c r="Q22" s="1014"/>
      <c r="R22" s="937"/>
      <c r="S22" s="903"/>
      <c r="T22" s="903"/>
      <c r="U22" s="903"/>
      <c r="V22" s="903"/>
      <c r="W22" s="903"/>
      <c r="X22" s="903"/>
      <c r="Y22" s="903"/>
      <c r="Z22" s="903"/>
      <c r="AA22" s="903"/>
      <c r="AB22" s="903"/>
      <c r="AC22" s="903"/>
      <c r="AD22" s="903"/>
      <c r="AE22" s="903"/>
      <c r="AF22" s="903"/>
      <c r="AG22" s="903"/>
      <c r="AH22" s="903"/>
      <c r="AI22" s="903"/>
      <c r="AJ22" s="903"/>
      <c r="AK22" s="903"/>
      <c r="AL22" s="903"/>
      <c r="AM22" s="903"/>
    </row>
    <row r="23" spans="1:39" ht="19">
      <c r="A23" s="922" t="s">
        <v>1805</v>
      </c>
      <c r="B23" s="819"/>
      <c r="C23" s="904"/>
      <c r="D23" s="904"/>
      <c r="E23" s="904"/>
      <c r="F23" s="904"/>
      <c r="G23" s="904"/>
      <c r="H23" s="904"/>
      <c r="I23" s="904"/>
      <c r="J23" s="904"/>
      <c r="K23" s="977"/>
      <c r="L23" s="1034"/>
      <c r="M23" s="982"/>
      <c r="N23" s="990"/>
      <c r="O23" s="998"/>
      <c r="P23" s="1006"/>
      <c r="Q23" s="1015"/>
      <c r="R23" s="937"/>
      <c r="S23" s="931" t="s">
        <v>1805</v>
      </c>
      <c r="T23" s="906"/>
      <c r="U23" s="924"/>
      <c r="V23" s="904"/>
      <c r="W23" s="904"/>
      <c r="X23" s="904"/>
      <c r="Y23" s="904"/>
      <c r="Z23" s="904"/>
      <c r="AA23" s="904"/>
      <c r="AB23" s="904"/>
      <c r="AC23" s="904"/>
      <c r="AD23" s="904"/>
      <c r="AE23" s="904"/>
      <c r="AF23" s="904"/>
      <c r="AG23" s="904"/>
      <c r="AH23" s="904"/>
      <c r="AI23" s="904"/>
      <c r="AJ23" s="904"/>
      <c r="AK23" s="904"/>
      <c r="AL23" s="904"/>
      <c r="AM23" s="905"/>
    </row>
    <row r="24" spans="1:39">
      <c r="A24" s="864" t="s">
        <v>1742</v>
      </c>
      <c r="B24" s="808"/>
      <c r="C24" s="869">
        <f>C17</f>
        <v>2.8598379334087625</v>
      </c>
      <c r="D24" s="907">
        <f>FreightEquipData!EV21</f>
        <v>29.989363630794664</v>
      </c>
      <c r="E24" s="907">
        <f>FreightEquipData!EW21</f>
        <v>6183.1578590945792</v>
      </c>
      <c r="F24" s="907">
        <f>FreightEquipData!EX21</f>
        <v>1816.9986956096393</v>
      </c>
      <c r="G24" s="907">
        <f>F24/H24</f>
        <v>65.701980757810986</v>
      </c>
      <c r="H24" s="907">
        <f>FreightEquipData!EY21</f>
        <v>27.655158560704809</v>
      </c>
      <c r="I24" s="908">
        <f>H24</f>
        <v>27.655158560704809</v>
      </c>
      <c r="J24" s="805"/>
      <c r="K24" s="970">
        <f>SUM(M24:Q24)</f>
        <v>1510.6867388433466</v>
      </c>
      <c r="L24" s="1027">
        <f>K24-Q24</f>
        <v>480.5323885535779</v>
      </c>
      <c r="M24" s="1016">
        <f>W24</f>
        <v>193.80437069308005</v>
      </c>
      <c r="N24" s="983">
        <f>AA24</f>
        <v>73.644186479625034</v>
      </c>
      <c r="O24" s="991">
        <f>AE24</f>
        <v>63.257618966471611</v>
      </c>
      <c r="P24" s="999">
        <f>AI24</f>
        <v>149.82621241440123</v>
      </c>
      <c r="Q24" s="1007">
        <f>AM24</f>
        <v>1030.1543502897687</v>
      </c>
      <c r="R24" s="936"/>
      <c r="S24" s="826">
        <f>Locomotives19!$B$17*C24</f>
        <v>126.91313533355485</v>
      </c>
      <c r="T24" s="826">
        <f>(Locomotives19!$B$50/24)*C24</f>
        <v>41.424778068897353</v>
      </c>
      <c r="U24" s="826">
        <f>Locomotives19!$B$46*C24</f>
        <v>25.466457290627822</v>
      </c>
      <c r="V24" s="826">
        <v>0</v>
      </c>
      <c r="W24" s="872">
        <f>SUM(S24:V24)</f>
        <v>193.80437069308005</v>
      </c>
      <c r="X24" s="844"/>
      <c r="Y24" s="828">
        <f>D24*FrtEquip19!$B$16</f>
        <v>33.960758531597982</v>
      </c>
      <c r="Z24" s="829">
        <f>D24*FrtEquip19!$B$51</f>
        <v>39.68342794802706</v>
      </c>
      <c r="AA24" s="873">
        <f>Y24+Z24</f>
        <v>73.644186479625034</v>
      </c>
      <c r="AB24" s="844"/>
      <c r="AC24" s="832">
        <f>$I24*FreightEquipData!$CE$6*FrtEquip19!$C$16</f>
        <v>48.5962191377062</v>
      </c>
      <c r="AD24" s="833">
        <f>$I24*FreightEquipData!$CE$6*FrtEquip19!$C$51</f>
        <v>14.661399828765408</v>
      </c>
      <c r="AE24" s="874">
        <f>AC24+AD24</f>
        <v>63.257618966471611</v>
      </c>
      <c r="AF24" s="844"/>
      <c r="AG24" s="836">
        <f>Crew19!$B$11*Crew19!$N$10</f>
        <v>106.0416253198395</v>
      </c>
      <c r="AH24" s="837">
        <f>Crew19!$B$11*Crew19!$N$10*(Crew19!$B$14-1)</f>
        <v>43.784587094561736</v>
      </c>
      <c r="AI24" s="875">
        <f>AG24+AH24</f>
        <v>149.82621241440123</v>
      </c>
      <c r="AJ24" s="844"/>
      <c r="AK24" s="840">
        <f>AM24/F24</f>
        <v>0.56695381938297507</v>
      </c>
      <c r="AL24" s="824">
        <f>AM24/H24</f>
        <v>37.249988931667673</v>
      </c>
      <c r="AM24" s="909">
        <f>FreightEquipData!EZ21</f>
        <v>1030.1543502897687</v>
      </c>
    </row>
    <row r="25" spans="1:39">
      <c r="A25" s="865" t="s">
        <v>1743</v>
      </c>
      <c r="B25" s="808"/>
      <c r="C25" s="877">
        <f>C18</f>
        <v>2.8598379334087625</v>
      </c>
      <c r="D25" s="910">
        <f>FreightEquipData!EV21</f>
        <v>29.989363630794664</v>
      </c>
      <c r="E25" s="910">
        <f>FreightEquipData!EW21</f>
        <v>6183.1578590945792</v>
      </c>
      <c r="F25" s="910">
        <f>FreightEquipData!EX21</f>
        <v>1816.9986956096393</v>
      </c>
      <c r="G25" s="910">
        <f>F25/H25</f>
        <v>65.701980757810986</v>
      </c>
      <c r="H25" s="910">
        <f>FreightEquipData!EY21</f>
        <v>27.655158560704809</v>
      </c>
      <c r="I25" s="911">
        <f>H25</f>
        <v>27.655158560704809</v>
      </c>
      <c r="J25" s="805"/>
      <c r="K25" s="971">
        <f>SUM(M25:Q25)</f>
        <v>1708.8953325507114</v>
      </c>
      <c r="L25" s="1028">
        <f>K25-Q25</f>
        <v>678.7409822609427</v>
      </c>
      <c r="M25" s="1017">
        <f>W25</f>
        <v>392.01296440044479</v>
      </c>
      <c r="N25" s="984">
        <f>AA25</f>
        <v>73.644186479625034</v>
      </c>
      <c r="O25" s="992">
        <f>AE25</f>
        <v>63.257618966471611</v>
      </c>
      <c r="P25" s="1000">
        <f>AI25</f>
        <v>149.82621241440123</v>
      </c>
      <c r="Q25" s="1008">
        <f>AM25</f>
        <v>1030.1543502897687</v>
      </c>
      <c r="R25" s="936"/>
      <c r="S25" s="827">
        <f>Locomotives19!$B$17*C25</f>
        <v>126.91313533355485</v>
      </c>
      <c r="T25" s="827">
        <f>(Locomotives19!$B$50/24)*C25</f>
        <v>41.424778068897353</v>
      </c>
      <c r="U25" s="827">
        <v>0</v>
      </c>
      <c r="V25" s="827">
        <f>C25*Locomotives19!$K$44</f>
        <v>223.67505099799257</v>
      </c>
      <c r="W25" s="880">
        <f>SUM(S25:V25)</f>
        <v>392.01296440044479</v>
      </c>
      <c r="X25" s="844"/>
      <c r="Y25" s="830">
        <f>D25*FrtEquip19!$B$16</f>
        <v>33.960758531597982</v>
      </c>
      <c r="Z25" s="831">
        <f>D25*FrtEquip19!$B$51</f>
        <v>39.68342794802706</v>
      </c>
      <c r="AA25" s="881">
        <f>Y25+Z25</f>
        <v>73.644186479625034</v>
      </c>
      <c r="AB25" s="844"/>
      <c r="AC25" s="834">
        <f>$I25*FreightEquipData!$CE$6*FrtEquip19!$C$16</f>
        <v>48.5962191377062</v>
      </c>
      <c r="AD25" s="835">
        <f>$I25*FreightEquipData!$CE$6*FrtEquip19!$C$51</f>
        <v>14.661399828765408</v>
      </c>
      <c r="AE25" s="882">
        <f>AC25+AD25</f>
        <v>63.257618966471611</v>
      </c>
      <c r="AF25" s="844"/>
      <c r="AG25" s="838">
        <f>Crew19!$B$11*Crew19!$N$10</f>
        <v>106.0416253198395</v>
      </c>
      <c r="AH25" s="839">
        <f>Crew19!$B$11*Crew19!$N$10*(Crew19!$B$14-1)</f>
        <v>43.784587094561736</v>
      </c>
      <c r="AI25" s="883">
        <f>AG25+AH25</f>
        <v>149.82621241440123</v>
      </c>
      <c r="AJ25" s="844"/>
      <c r="AK25" s="841">
        <f>AM25/F25</f>
        <v>0.56695381938297507</v>
      </c>
      <c r="AL25" s="825">
        <f>AM25/H25</f>
        <v>37.249988931667673</v>
      </c>
      <c r="AM25" s="912">
        <f>FreightEquipData!EZ21</f>
        <v>1030.1543502897687</v>
      </c>
    </row>
    <row r="26" spans="1:39" ht="4" customHeight="1">
      <c r="A26" s="820"/>
      <c r="B26" s="808"/>
      <c r="C26" s="885"/>
      <c r="D26" s="885"/>
      <c r="E26" s="885"/>
      <c r="F26" s="885"/>
      <c r="G26" s="885"/>
      <c r="H26" s="885"/>
      <c r="I26" s="885"/>
      <c r="J26" s="885"/>
      <c r="K26" s="974"/>
      <c r="L26" s="1031"/>
      <c r="M26" s="980"/>
      <c r="N26" s="987"/>
      <c r="O26" s="995"/>
      <c r="P26" s="1003"/>
      <c r="Q26" s="1011"/>
      <c r="R26" s="937"/>
      <c r="S26" s="885"/>
      <c r="T26" s="885"/>
      <c r="U26" s="885"/>
      <c r="V26" s="885"/>
      <c r="W26" s="885"/>
      <c r="X26" s="885"/>
      <c r="Y26" s="885"/>
      <c r="Z26" s="885"/>
      <c r="AA26" s="885"/>
      <c r="AB26" s="885"/>
      <c r="AC26" s="885"/>
      <c r="AD26" s="885"/>
      <c r="AE26" s="885"/>
      <c r="AF26" s="885"/>
      <c r="AG26" s="885"/>
      <c r="AH26" s="885"/>
      <c r="AI26" s="885"/>
      <c r="AJ26" s="885"/>
      <c r="AK26" s="885"/>
      <c r="AL26" s="885"/>
      <c r="AM26" s="913"/>
    </row>
    <row r="27" spans="1:39">
      <c r="A27" s="864" t="s">
        <v>1744</v>
      </c>
      <c r="B27" s="808"/>
      <c r="C27" s="869">
        <f>Locomotives19!F36</f>
        <v>2.8598379334087625</v>
      </c>
      <c r="D27" s="870">
        <f>FreightEquipData!EV25</f>
        <v>59.012647085569768</v>
      </c>
      <c r="E27" s="870">
        <f>FreightEquipData!EW25</f>
        <v>5537.3533848626294</v>
      </c>
      <c r="F27" s="870">
        <f>FreightEquipData!EX25</f>
        <v>1256.5853974760489</v>
      </c>
      <c r="G27" s="907">
        <f>F27/H27</f>
        <v>30.7940499303755</v>
      </c>
      <c r="H27" s="870">
        <f>FreightEquipData!EY25</f>
        <v>40.806110281601605</v>
      </c>
      <c r="I27" s="871">
        <v>0</v>
      </c>
      <c r="J27" s="802"/>
      <c r="K27" s="970">
        <f>SUM(M27:Q27)</f>
        <v>1328.6565461714754</v>
      </c>
      <c r="L27" s="1027">
        <f>K27-Q27</f>
        <v>488.54657532824854</v>
      </c>
      <c r="M27" s="1016">
        <f>W27</f>
        <v>193.80437069308005</v>
      </c>
      <c r="N27" s="983">
        <f>AA27</f>
        <v>144.91599222076729</v>
      </c>
      <c r="O27" s="991">
        <f>AE27</f>
        <v>0</v>
      </c>
      <c r="P27" s="999">
        <f>AI27</f>
        <v>149.82621241440123</v>
      </c>
      <c r="Q27" s="1007">
        <f>AM27</f>
        <v>840.10997084322685</v>
      </c>
      <c r="R27" s="936"/>
      <c r="S27" s="826">
        <f>Locomotives19!$B$17*C27</f>
        <v>126.91313533355485</v>
      </c>
      <c r="T27" s="826">
        <f>(Locomotives19!$B$50/24)*C27</f>
        <v>41.424778068897353</v>
      </c>
      <c r="U27" s="826">
        <f>Locomotives19!$B$46*C27</f>
        <v>25.466457290627822</v>
      </c>
      <c r="V27" s="826">
        <v>0</v>
      </c>
      <c r="W27" s="872">
        <f>SUM(S27:V27)</f>
        <v>193.80437069308005</v>
      </c>
      <c r="X27" s="844"/>
      <c r="Y27" s="828">
        <f>D27*FrtEquip19!$B$16</f>
        <v>66.82750199892584</v>
      </c>
      <c r="Z27" s="829">
        <f>D27*FrtEquip19!$B$51</f>
        <v>78.088490221841454</v>
      </c>
      <c r="AA27" s="873">
        <f>Y27+Z27</f>
        <v>144.91599222076729</v>
      </c>
      <c r="AB27" s="844"/>
      <c r="AC27" s="832">
        <v>0</v>
      </c>
      <c r="AD27" s="833">
        <v>0</v>
      </c>
      <c r="AE27" s="874">
        <f>AC27+AD27</f>
        <v>0</v>
      </c>
      <c r="AF27" s="844"/>
      <c r="AG27" s="836">
        <f>Crew19!$B$11*Crew19!$N$10</f>
        <v>106.0416253198395</v>
      </c>
      <c r="AH27" s="837">
        <f>Crew19!$B$11*Crew19!$N$10*(Crew19!$B$14-1)</f>
        <v>43.784587094561736</v>
      </c>
      <c r="AI27" s="875">
        <f>AG27+AH27</f>
        <v>149.82621241440123</v>
      </c>
      <c r="AJ27" s="844"/>
      <c r="AK27" s="840">
        <f>AM27/F27</f>
        <v>0.66856575966158294</v>
      </c>
      <c r="AL27" s="824">
        <f>AM27/H27</f>
        <v>20.587847384758213</v>
      </c>
      <c r="AM27" s="909">
        <f>FreightEquipData!EZ25</f>
        <v>840.10997084322685</v>
      </c>
    </row>
    <row r="28" spans="1:39">
      <c r="A28" s="865" t="s">
        <v>1745</v>
      </c>
      <c r="B28" s="808"/>
      <c r="C28" s="877">
        <f>Locomotives19!F36</f>
        <v>2.8598379334087625</v>
      </c>
      <c r="D28" s="878">
        <f>FreightEquipData!EV25</f>
        <v>59.012647085569768</v>
      </c>
      <c r="E28" s="878">
        <f>FreightEquipData!EW25</f>
        <v>5537.3533848626294</v>
      </c>
      <c r="F28" s="878">
        <f>FreightEquipData!EX25</f>
        <v>1256.5853974760489</v>
      </c>
      <c r="G28" s="910">
        <f>F28/H28</f>
        <v>30.7940499303755</v>
      </c>
      <c r="H28" s="878">
        <f>FreightEquipData!EY25</f>
        <v>40.806110281601605</v>
      </c>
      <c r="I28" s="879">
        <v>0</v>
      </c>
      <c r="J28" s="802"/>
      <c r="K28" s="971">
        <f>SUM(M28:Q28)</f>
        <v>1526.8651398788402</v>
      </c>
      <c r="L28" s="1028">
        <f>K28-Q28</f>
        <v>686.75516903561333</v>
      </c>
      <c r="M28" s="1017">
        <f>W28</f>
        <v>392.01296440044479</v>
      </c>
      <c r="N28" s="984">
        <f>AA28</f>
        <v>144.91599222076729</v>
      </c>
      <c r="O28" s="992">
        <f>AE28</f>
        <v>0</v>
      </c>
      <c r="P28" s="1000">
        <f>AI28</f>
        <v>149.82621241440123</v>
      </c>
      <c r="Q28" s="1008">
        <f>AM28</f>
        <v>840.10997084322685</v>
      </c>
      <c r="R28" s="936"/>
      <c r="S28" s="827">
        <f>Locomotives19!$B$17*C28</f>
        <v>126.91313533355485</v>
      </c>
      <c r="T28" s="827">
        <f>(Locomotives19!$B$50/24)*C28</f>
        <v>41.424778068897353</v>
      </c>
      <c r="U28" s="827">
        <v>0</v>
      </c>
      <c r="V28" s="827">
        <f>C28*Locomotives19!$K$44</f>
        <v>223.67505099799257</v>
      </c>
      <c r="W28" s="880">
        <f>SUM(S28:V28)</f>
        <v>392.01296440044479</v>
      </c>
      <c r="X28" s="844"/>
      <c r="Y28" s="830">
        <f>D28*FrtEquip19!$B$16</f>
        <v>66.82750199892584</v>
      </c>
      <c r="Z28" s="831">
        <f>D28*FrtEquip19!$B$51</f>
        <v>78.088490221841454</v>
      </c>
      <c r="AA28" s="881">
        <f>Y28+Z28</f>
        <v>144.91599222076729</v>
      </c>
      <c r="AB28" s="844"/>
      <c r="AC28" s="834">
        <v>0</v>
      </c>
      <c r="AD28" s="835">
        <v>0</v>
      </c>
      <c r="AE28" s="882">
        <f>AC28+AD28</f>
        <v>0</v>
      </c>
      <c r="AF28" s="844"/>
      <c r="AG28" s="838">
        <f>Crew19!$B$11*Crew19!$N$10</f>
        <v>106.0416253198395</v>
      </c>
      <c r="AH28" s="839">
        <f>Crew19!$B$11*Crew19!$N$10*(Crew19!$B$14-1)</f>
        <v>43.784587094561736</v>
      </c>
      <c r="AI28" s="883">
        <f>AG28+AH28</f>
        <v>149.82621241440123</v>
      </c>
      <c r="AJ28" s="844"/>
      <c r="AK28" s="841">
        <f>AM28/F28</f>
        <v>0.66856575966158294</v>
      </c>
      <c r="AL28" s="825">
        <f>AM28/H28</f>
        <v>20.587847384758213</v>
      </c>
      <c r="AM28" s="912">
        <f>FreightEquipData!EZ25</f>
        <v>840.10997084322685</v>
      </c>
    </row>
    <row r="29" spans="1:39" ht="4" customHeight="1">
      <c r="A29" s="820"/>
      <c r="B29" s="808"/>
      <c r="C29" s="885"/>
      <c r="D29" s="885"/>
      <c r="E29" s="885"/>
      <c r="F29" s="885"/>
      <c r="G29" s="885"/>
      <c r="H29" s="885"/>
      <c r="I29" s="885"/>
      <c r="J29" s="885"/>
      <c r="K29" s="978"/>
      <c r="L29" s="1029"/>
      <c r="M29" s="979"/>
      <c r="N29" s="985"/>
      <c r="O29" s="993"/>
      <c r="P29" s="1001"/>
      <c r="Q29" s="1009"/>
      <c r="R29" s="937"/>
      <c r="S29" s="885"/>
      <c r="T29" s="885"/>
      <c r="U29" s="885"/>
      <c r="V29" s="885"/>
      <c r="W29" s="885"/>
      <c r="X29" s="885"/>
      <c r="Y29" s="885"/>
      <c r="Z29" s="885"/>
      <c r="AA29" s="885"/>
      <c r="AB29" s="885"/>
      <c r="AC29" s="885"/>
      <c r="AD29" s="885"/>
      <c r="AE29" s="885"/>
      <c r="AF29" s="885"/>
      <c r="AG29" s="885"/>
      <c r="AH29" s="885"/>
      <c r="AI29" s="885"/>
      <c r="AJ29" s="885"/>
      <c r="AK29" s="885"/>
      <c r="AL29" s="885"/>
      <c r="AM29" s="913"/>
    </row>
    <row r="30" spans="1:39">
      <c r="A30" s="864" t="s">
        <v>1746</v>
      </c>
      <c r="B30" s="808"/>
      <c r="C30" s="869">
        <f>Locomotives19!F36</f>
        <v>2.8598379334087625</v>
      </c>
      <c r="D30" s="870">
        <f>FreightEquipData!EV16</f>
        <v>89.65770851038755</v>
      </c>
      <c r="E30" s="870">
        <f>FreightEquipData!EW16</f>
        <v>5537.3533848626294</v>
      </c>
      <c r="F30" s="870">
        <f>FreightEquipData!EX16</f>
        <v>3968.776151908271</v>
      </c>
      <c r="G30" s="870">
        <f>F30/H30</f>
        <v>86.217442426145027</v>
      </c>
      <c r="H30" s="870">
        <f>FreightEquipData!EY16</f>
        <v>46.032172147857153</v>
      </c>
      <c r="I30" s="871">
        <v>0</v>
      </c>
      <c r="J30" s="802"/>
      <c r="K30" s="970">
        <f>SUM(M30:Q30)</f>
        <v>1205.5660336535752</v>
      </c>
      <c r="L30" s="1027">
        <f>K30-Q30</f>
        <v>563.80094371142457</v>
      </c>
      <c r="M30" s="1016">
        <f>W30</f>
        <v>193.80437069308005</v>
      </c>
      <c r="N30" s="983">
        <f>AA30</f>
        <v>220.17036060394338</v>
      </c>
      <c r="O30" s="991">
        <f>AE30</f>
        <v>0</v>
      </c>
      <c r="P30" s="999">
        <f>AI30</f>
        <v>149.82621241440123</v>
      </c>
      <c r="Q30" s="1007">
        <f>AM30</f>
        <v>641.76508994215067</v>
      </c>
      <c r="R30" s="936"/>
      <c r="S30" s="826">
        <f>Locomotives19!$B$17*C30</f>
        <v>126.91313533355485</v>
      </c>
      <c r="T30" s="826">
        <f>(Locomotives19!$B$50/24)*C30</f>
        <v>41.424778068897353</v>
      </c>
      <c r="U30" s="826">
        <f>Locomotives19!$B$46*C30</f>
        <v>25.466457290627822</v>
      </c>
      <c r="V30" s="826">
        <v>0</v>
      </c>
      <c r="W30" s="872">
        <f>SUM(S30:V30)</f>
        <v>193.80437069308005</v>
      </c>
      <c r="X30" s="844"/>
      <c r="Y30" s="828">
        <f>D30*FrtEquip19!$B$16</f>
        <v>101.5307902729574</v>
      </c>
      <c r="Z30" s="829">
        <f>D30*FrtEquip19!$B$51</f>
        <v>118.63957033098598</v>
      </c>
      <c r="AA30" s="873">
        <f>Y30+Z30</f>
        <v>220.17036060394338</v>
      </c>
      <c r="AB30" s="844"/>
      <c r="AC30" s="832">
        <v>0</v>
      </c>
      <c r="AD30" s="833">
        <v>0</v>
      </c>
      <c r="AE30" s="874">
        <f>AC30+AD30</f>
        <v>0</v>
      </c>
      <c r="AF30" s="844"/>
      <c r="AG30" s="836">
        <f>Crew19!$B$11*Crew19!$N$10</f>
        <v>106.0416253198395</v>
      </c>
      <c r="AH30" s="837">
        <f>Crew19!$B$11*Crew19!$N$10*(Crew19!$B$14-1)</f>
        <v>43.784587094561736</v>
      </c>
      <c r="AI30" s="875">
        <f>AG30+AH30</f>
        <v>149.82621241440123</v>
      </c>
      <c r="AJ30" s="844"/>
      <c r="AK30" s="840">
        <f>AM30/F30</f>
        <v>0.16170352405327182</v>
      </c>
      <c r="AL30" s="824">
        <f>AM30/H30</f>
        <v>13.941664275167721</v>
      </c>
      <c r="AM30" s="909">
        <f>FreightEquipData!EZ16</f>
        <v>641.76508994215067</v>
      </c>
    </row>
    <row r="31" spans="1:39">
      <c r="A31" s="865" t="s">
        <v>1747</v>
      </c>
      <c r="B31" s="808"/>
      <c r="C31" s="877">
        <f>Locomotives19!F36</f>
        <v>2.8598379334087625</v>
      </c>
      <c r="D31" s="878">
        <f>FreightEquipData!EV16</f>
        <v>89.65770851038755</v>
      </c>
      <c r="E31" s="878">
        <f>FreightEquipData!EW16</f>
        <v>5537.3533848626294</v>
      </c>
      <c r="F31" s="878">
        <f>FreightEquipData!EX16</f>
        <v>3968.776151908271</v>
      </c>
      <c r="G31" s="878">
        <f>F31/H31</f>
        <v>86.217442426145027</v>
      </c>
      <c r="H31" s="878">
        <f>FreightEquipData!EY16</f>
        <v>46.032172147857153</v>
      </c>
      <c r="I31" s="879">
        <v>0</v>
      </c>
      <c r="J31" s="802"/>
      <c r="K31" s="971">
        <f>SUM(M31:Q31)</f>
        <v>1403.77462736094</v>
      </c>
      <c r="L31" s="1028">
        <f>K31-Q31</f>
        <v>762.00953741878936</v>
      </c>
      <c r="M31" s="1017">
        <f>W31</f>
        <v>392.01296440044479</v>
      </c>
      <c r="N31" s="984">
        <f>AA31</f>
        <v>220.17036060394338</v>
      </c>
      <c r="O31" s="992">
        <f>AE31</f>
        <v>0</v>
      </c>
      <c r="P31" s="1000">
        <f>AI31</f>
        <v>149.82621241440123</v>
      </c>
      <c r="Q31" s="1008">
        <f>AM31</f>
        <v>641.76508994215067</v>
      </c>
      <c r="R31" s="936"/>
      <c r="S31" s="827">
        <f>Locomotives19!$B$17*C31</f>
        <v>126.91313533355485</v>
      </c>
      <c r="T31" s="827">
        <f>(Locomotives19!$B$50/24)*C31</f>
        <v>41.424778068897353</v>
      </c>
      <c r="U31" s="827">
        <v>0</v>
      </c>
      <c r="V31" s="827">
        <f>C31*Locomotives19!$K$44</f>
        <v>223.67505099799257</v>
      </c>
      <c r="W31" s="880">
        <f>SUM(S31:V31)</f>
        <v>392.01296440044479</v>
      </c>
      <c r="X31" s="844"/>
      <c r="Y31" s="830">
        <f>D31*FrtEquip19!$B$16</f>
        <v>101.5307902729574</v>
      </c>
      <c r="Z31" s="831">
        <f>D31*FrtEquip19!$B$51</f>
        <v>118.63957033098598</v>
      </c>
      <c r="AA31" s="881">
        <f>Y31+Z31</f>
        <v>220.17036060394338</v>
      </c>
      <c r="AB31" s="844"/>
      <c r="AC31" s="834">
        <v>0</v>
      </c>
      <c r="AD31" s="835">
        <v>0</v>
      </c>
      <c r="AE31" s="882">
        <f>AC31+AD31</f>
        <v>0</v>
      </c>
      <c r="AF31" s="844"/>
      <c r="AG31" s="838">
        <f>Crew19!$B$11*Crew19!$N$10</f>
        <v>106.0416253198395</v>
      </c>
      <c r="AH31" s="839">
        <f>Crew19!$B$11*Crew19!$N$10*(Crew19!$B$14-1)</f>
        <v>43.784587094561736</v>
      </c>
      <c r="AI31" s="883">
        <f>AG31+AH31</f>
        <v>149.82621241440123</v>
      </c>
      <c r="AJ31" s="844"/>
      <c r="AK31" s="841">
        <f>AM31/F31</f>
        <v>0.16170352405327182</v>
      </c>
      <c r="AL31" s="825">
        <f>AM31/H31</f>
        <v>13.941664275167721</v>
      </c>
      <c r="AM31" s="912">
        <f>FreightEquipData!EZ16</f>
        <v>641.76508994215067</v>
      </c>
    </row>
    <row r="32" spans="1:39" ht="4" customHeight="1">
      <c r="A32" s="820"/>
      <c r="B32" s="808"/>
      <c r="C32" s="885"/>
      <c r="D32" s="885"/>
      <c r="E32" s="885"/>
      <c r="F32" s="885"/>
      <c r="G32" s="885"/>
      <c r="H32" s="885"/>
      <c r="I32" s="885"/>
      <c r="J32" s="885"/>
      <c r="K32" s="974"/>
      <c r="L32" s="1031"/>
      <c r="M32" s="980"/>
      <c r="N32" s="987"/>
      <c r="O32" s="995"/>
      <c r="P32" s="1003"/>
      <c r="Q32" s="1011"/>
      <c r="R32" s="937"/>
      <c r="S32" s="885"/>
      <c r="T32" s="885"/>
      <c r="U32" s="885"/>
      <c r="V32" s="885"/>
      <c r="W32" s="885"/>
      <c r="X32" s="885"/>
      <c r="Y32" s="885"/>
      <c r="Z32" s="885"/>
      <c r="AA32" s="885"/>
      <c r="AB32" s="885"/>
      <c r="AC32" s="885"/>
      <c r="AD32" s="885"/>
      <c r="AE32" s="885"/>
      <c r="AF32" s="885"/>
      <c r="AG32" s="885"/>
      <c r="AH32" s="885"/>
      <c r="AI32" s="885"/>
      <c r="AJ32" s="885"/>
      <c r="AK32" s="885"/>
      <c r="AL32" s="885"/>
      <c r="AM32" s="913"/>
    </row>
    <row r="33" spans="1:39">
      <c r="A33" s="864" t="s">
        <v>1748</v>
      </c>
      <c r="B33" s="808"/>
      <c r="C33" s="869">
        <f>Locomotives19!F34</f>
        <v>3.1061731211319832</v>
      </c>
      <c r="D33" s="870">
        <f>FreightEquipData!FB31</f>
        <v>119.30819065666583</v>
      </c>
      <c r="E33" s="870">
        <f>FreightEquipData!FC31</f>
        <v>6300.980944217572</v>
      </c>
      <c r="F33" s="870">
        <f>FreightEquipData!FD31</f>
        <v>13933.701363746979</v>
      </c>
      <c r="G33" s="870">
        <f>F33/H33</f>
        <v>116.78746687093853</v>
      </c>
      <c r="H33" s="870">
        <f>FreightEquipData!FE31</f>
        <v>119.30819065666583</v>
      </c>
      <c r="I33" s="871">
        <v>0</v>
      </c>
      <c r="J33" s="802"/>
      <c r="K33" s="970">
        <f>SUM(M33:Q33)</f>
        <v>731.40965434613213</v>
      </c>
      <c r="L33" s="1027">
        <f>K33-Q33</f>
        <v>653.30649274921552</v>
      </c>
      <c r="M33" s="1016">
        <f>W33</f>
        <v>210.49791667292376</v>
      </c>
      <c r="N33" s="983">
        <f>AA33</f>
        <v>292.98236366189053</v>
      </c>
      <c r="O33" s="991">
        <f>AE33</f>
        <v>0</v>
      </c>
      <c r="P33" s="999">
        <f>AI33</f>
        <v>149.82621241440123</v>
      </c>
      <c r="Q33" s="1007">
        <f>AM33</f>
        <v>78.103161596916635</v>
      </c>
      <c r="R33" s="936"/>
      <c r="S33" s="826">
        <f>Locomotives19!$B$17*C33</f>
        <v>137.84493347907767</v>
      </c>
      <c r="T33" s="826">
        <f>(Locomotives19!$B$50/24)*C33</f>
        <v>44.9929454684505</v>
      </c>
      <c r="U33" s="826">
        <f>Locomotives19!$B$46*C33</f>
        <v>27.660037725395604</v>
      </c>
      <c r="V33" s="826">
        <v>0</v>
      </c>
      <c r="W33" s="872">
        <f>SUM(S33:V33)</f>
        <v>210.49791667292376</v>
      </c>
      <c r="X33" s="844"/>
      <c r="Y33" s="828">
        <f>D33*FrtEquip19!$B$16</f>
        <v>135.10779033578038</v>
      </c>
      <c r="Z33" s="829">
        <f>D33*FrtEquip19!$B$51</f>
        <v>157.87457332611015</v>
      </c>
      <c r="AA33" s="873">
        <f>Y33+Z33</f>
        <v>292.98236366189053</v>
      </c>
      <c r="AB33" s="844"/>
      <c r="AC33" s="832">
        <v>0</v>
      </c>
      <c r="AD33" s="833">
        <v>0</v>
      </c>
      <c r="AE33" s="874">
        <f>AC33+AD33</f>
        <v>0</v>
      </c>
      <c r="AF33" s="844"/>
      <c r="AG33" s="836">
        <f>Crew19!$B$11*Crew19!$N$9</f>
        <v>106.0416253198395</v>
      </c>
      <c r="AH33" s="837">
        <f>Crew19!$B$11*Crew19!$N$9*(Crew19!$B$14-1)</f>
        <v>43.784587094561736</v>
      </c>
      <c r="AI33" s="875">
        <f>AG33+AH33</f>
        <v>149.82621241440123</v>
      </c>
      <c r="AJ33" s="844"/>
      <c r="AK33" s="840">
        <f>AM33/F33</f>
        <v>5.6053420091324207E-3</v>
      </c>
      <c r="AL33" s="824">
        <f>AM33/H33</f>
        <v>0.65463369419183259</v>
      </c>
      <c r="AM33" s="909">
        <f>FreightEquipData!FF31</f>
        <v>78.103161596916635</v>
      </c>
    </row>
    <row r="34" spans="1:39">
      <c r="A34" s="866" t="s">
        <v>1749</v>
      </c>
      <c r="B34" s="808"/>
      <c r="C34" s="887">
        <f>Locomotives19!F34</f>
        <v>3.1061731211319832</v>
      </c>
      <c r="D34" s="888">
        <f>FreightEquipData!FB31</f>
        <v>119.30819065666583</v>
      </c>
      <c r="E34" s="888">
        <f>FreightEquipData!FC31</f>
        <v>6300.980944217572</v>
      </c>
      <c r="F34" s="888">
        <f>FreightEquipData!FD31</f>
        <v>13933.701363746979</v>
      </c>
      <c r="G34" s="888">
        <f>F34/H34</f>
        <v>116.78746687093853</v>
      </c>
      <c r="H34" s="888">
        <f>FreightEquipData!FE31</f>
        <v>119.30819065666583</v>
      </c>
      <c r="I34" s="889">
        <v>0</v>
      </c>
      <c r="J34" s="802"/>
      <c r="K34" s="973">
        <f>SUM(M34:Q34)</f>
        <v>946.69115647564013</v>
      </c>
      <c r="L34" s="1030">
        <f>K34-Q34</f>
        <v>868.58799487872352</v>
      </c>
      <c r="M34" s="1018">
        <f>W34</f>
        <v>425.77941880243179</v>
      </c>
      <c r="N34" s="986">
        <f>AA34</f>
        <v>292.98236366189053</v>
      </c>
      <c r="O34" s="994">
        <f>AE34</f>
        <v>0</v>
      </c>
      <c r="P34" s="1002">
        <f>AI34</f>
        <v>149.82621241440123</v>
      </c>
      <c r="Q34" s="1010">
        <f>AM34</f>
        <v>78.103161596916635</v>
      </c>
      <c r="R34" s="936"/>
      <c r="S34" s="851">
        <f>Locomotives19!$B$17*C34</f>
        <v>137.84493347907767</v>
      </c>
      <c r="T34" s="851">
        <f>(Locomotives19!$B$50/24)*C34</f>
        <v>44.9929454684505</v>
      </c>
      <c r="U34" s="851">
        <v>0</v>
      </c>
      <c r="V34" s="851">
        <f>C34*Locomotives19!$K$44</f>
        <v>242.94153985490362</v>
      </c>
      <c r="W34" s="890">
        <f>SUM(S34:V34)</f>
        <v>425.77941880243179</v>
      </c>
      <c r="X34" s="844"/>
      <c r="Y34" s="849">
        <f>D34*FrtEquip19!$B$16</f>
        <v>135.10779033578038</v>
      </c>
      <c r="Z34" s="850">
        <f>D34*FrtEquip19!$B$51</f>
        <v>157.87457332611015</v>
      </c>
      <c r="AA34" s="891">
        <f>Y34+Z34</f>
        <v>292.98236366189053</v>
      </c>
      <c r="AB34" s="844"/>
      <c r="AC34" s="847">
        <v>0</v>
      </c>
      <c r="AD34" s="848">
        <v>0</v>
      </c>
      <c r="AE34" s="892">
        <f>AC34+AD34</f>
        <v>0</v>
      </c>
      <c r="AF34" s="844"/>
      <c r="AG34" s="845">
        <f>Crew19!$B$11*Crew19!$N$9</f>
        <v>106.0416253198395</v>
      </c>
      <c r="AH34" s="846">
        <f>Crew19!$B$11*Crew19!$N$9*(Crew19!$B$14-1)</f>
        <v>43.784587094561736</v>
      </c>
      <c r="AI34" s="893">
        <f>AG34+AH34</f>
        <v>149.82621241440123</v>
      </c>
      <c r="AJ34" s="844"/>
      <c r="AK34" s="842">
        <f>AM34/F34</f>
        <v>5.6053420091324207E-3</v>
      </c>
      <c r="AL34" s="843">
        <f>AM34/H34</f>
        <v>0.65463369419183259</v>
      </c>
      <c r="AM34" s="914">
        <f>FreightEquipData!FF31</f>
        <v>78.103161596916635</v>
      </c>
    </row>
    <row r="35" spans="1:39">
      <c r="A35" s="866" t="s">
        <v>1750</v>
      </c>
      <c r="B35" s="808"/>
      <c r="C35" s="887">
        <f>Locomotives19!F34</f>
        <v>3.1061731211319832</v>
      </c>
      <c r="D35" s="888">
        <f>FreightEquipData!FB31</f>
        <v>119.30819065666583</v>
      </c>
      <c r="E35" s="888">
        <f>FreightEquipData!FC31</f>
        <v>6300.980944217572</v>
      </c>
      <c r="F35" s="888">
        <v>0</v>
      </c>
      <c r="G35" s="888">
        <v>0</v>
      </c>
      <c r="H35" s="888">
        <v>0</v>
      </c>
      <c r="I35" s="889">
        <v>0</v>
      </c>
      <c r="J35" s="802"/>
      <c r="K35" s="973">
        <f>SUM(M35:Q35)</f>
        <v>653.30649274921552</v>
      </c>
      <c r="L35" s="1030">
        <f>K35-Q35</f>
        <v>653.30649274921552</v>
      </c>
      <c r="M35" s="1018">
        <f>W35</f>
        <v>210.49791667292376</v>
      </c>
      <c r="N35" s="986">
        <f>AA35</f>
        <v>292.98236366189053</v>
      </c>
      <c r="O35" s="994">
        <f>AE35</f>
        <v>0</v>
      </c>
      <c r="P35" s="1002">
        <f>AI35</f>
        <v>149.82621241440123</v>
      </c>
      <c r="Q35" s="1010">
        <f>AM35</f>
        <v>0</v>
      </c>
      <c r="R35" s="936"/>
      <c r="S35" s="851">
        <f>Locomotives19!$B$17*C35</f>
        <v>137.84493347907767</v>
      </c>
      <c r="T35" s="851">
        <f>(Locomotives19!$B$50/24)*C35</f>
        <v>44.9929454684505</v>
      </c>
      <c r="U35" s="851">
        <f>Locomotives19!$B$46*C35</f>
        <v>27.660037725395604</v>
      </c>
      <c r="V35" s="851">
        <v>0</v>
      </c>
      <c r="W35" s="890">
        <f>SUM(S35:V35)</f>
        <v>210.49791667292376</v>
      </c>
      <c r="X35" s="844"/>
      <c r="Y35" s="849">
        <f>D35*FrtEquip19!$B$16</f>
        <v>135.10779033578038</v>
      </c>
      <c r="Z35" s="850">
        <f>D35*FrtEquip19!$B$51</f>
        <v>157.87457332611015</v>
      </c>
      <c r="AA35" s="891">
        <f>Y35+Z35</f>
        <v>292.98236366189053</v>
      </c>
      <c r="AB35" s="844"/>
      <c r="AC35" s="847">
        <v>0</v>
      </c>
      <c r="AD35" s="848">
        <v>0</v>
      </c>
      <c r="AE35" s="892">
        <f>AC35+AD35</f>
        <v>0</v>
      </c>
      <c r="AF35" s="844"/>
      <c r="AG35" s="845">
        <f>Crew19!$B$11*Crew19!$N$9</f>
        <v>106.0416253198395</v>
      </c>
      <c r="AH35" s="846">
        <f>Crew19!$B$11*Crew19!$N$9*(Crew19!$B$14-1)</f>
        <v>43.784587094561736</v>
      </c>
      <c r="AI35" s="893">
        <f>AG35+AH35</f>
        <v>149.82621241440123</v>
      </c>
      <c r="AJ35" s="844"/>
      <c r="AK35" s="842">
        <v>0</v>
      </c>
      <c r="AL35" s="843">
        <v>0</v>
      </c>
      <c r="AM35" s="894">
        <v>0</v>
      </c>
    </row>
    <row r="36" spans="1:39">
      <c r="A36" s="865" t="s">
        <v>1751</v>
      </c>
      <c r="B36" s="808"/>
      <c r="C36" s="877">
        <f>Locomotives19!F34</f>
        <v>3.1061731211319832</v>
      </c>
      <c r="D36" s="878">
        <f>FreightEquipData!FB31</f>
        <v>119.30819065666583</v>
      </c>
      <c r="E36" s="878">
        <f>FreightEquipData!FC31</f>
        <v>6300.980944217572</v>
      </c>
      <c r="F36" s="878">
        <v>0</v>
      </c>
      <c r="G36" s="878">
        <v>0</v>
      </c>
      <c r="H36" s="878">
        <v>0</v>
      </c>
      <c r="I36" s="879">
        <v>0</v>
      </c>
      <c r="J36" s="802"/>
      <c r="K36" s="971">
        <f>SUM(M36:Q36)</f>
        <v>868.58799487872352</v>
      </c>
      <c r="L36" s="1028">
        <f>K36-Q36</f>
        <v>868.58799487872352</v>
      </c>
      <c r="M36" s="1017">
        <f>W36</f>
        <v>425.77941880243179</v>
      </c>
      <c r="N36" s="984">
        <f>AA36</f>
        <v>292.98236366189053</v>
      </c>
      <c r="O36" s="992">
        <f>AE36</f>
        <v>0</v>
      </c>
      <c r="P36" s="1000">
        <f>AI36</f>
        <v>149.82621241440123</v>
      </c>
      <c r="Q36" s="1008">
        <f>AM36</f>
        <v>0</v>
      </c>
      <c r="R36" s="936"/>
      <c r="S36" s="827">
        <f>Locomotives19!$B$17*C36</f>
        <v>137.84493347907767</v>
      </c>
      <c r="T36" s="827">
        <f>(Locomotives19!$B$50/24)*C36</f>
        <v>44.9929454684505</v>
      </c>
      <c r="U36" s="827">
        <v>0</v>
      </c>
      <c r="V36" s="827">
        <f>C36*Locomotives19!$K$44</f>
        <v>242.94153985490362</v>
      </c>
      <c r="W36" s="880">
        <f>SUM(S36:V36)</f>
        <v>425.77941880243179</v>
      </c>
      <c r="X36" s="844"/>
      <c r="Y36" s="830">
        <f>D36*FrtEquip19!$B$16</f>
        <v>135.10779033578038</v>
      </c>
      <c r="Z36" s="831">
        <f>D36*FrtEquip19!$B$51</f>
        <v>157.87457332611015</v>
      </c>
      <c r="AA36" s="881">
        <f>Y36+Z36</f>
        <v>292.98236366189053</v>
      </c>
      <c r="AB36" s="844"/>
      <c r="AC36" s="834">
        <v>0</v>
      </c>
      <c r="AD36" s="835">
        <v>0</v>
      </c>
      <c r="AE36" s="882">
        <f>AC36+AD36</f>
        <v>0</v>
      </c>
      <c r="AF36" s="844"/>
      <c r="AG36" s="838">
        <f>Crew19!$B$11*Crew19!$N$9</f>
        <v>106.0416253198395</v>
      </c>
      <c r="AH36" s="839">
        <f>Crew19!$B$11*Crew19!$N$9*(Crew19!$B$14-1)</f>
        <v>43.784587094561736</v>
      </c>
      <c r="AI36" s="883">
        <f>AG36+AH36</f>
        <v>149.82621241440123</v>
      </c>
      <c r="AJ36" s="844"/>
      <c r="AK36" s="841">
        <v>0</v>
      </c>
      <c r="AL36" s="825">
        <v>0</v>
      </c>
      <c r="AM36" s="884">
        <v>0</v>
      </c>
    </row>
    <row r="37" spans="1:39" ht="4" customHeight="1">
      <c r="A37" s="820"/>
      <c r="B37" s="808"/>
      <c r="C37" s="885"/>
      <c r="D37" s="885"/>
      <c r="E37" s="885"/>
      <c r="F37" s="885"/>
      <c r="G37" s="885"/>
      <c r="H37" s="885"/>
      <c r="I37" s="885"/>
      <c r="J37" s="885"/>
      <c r="K37" s="974"/>
      <c r="L37" s="1031"/>
      <c r="M37" s="980"/>
      <c r="N37" s="987"/>
      <c r="O37" s="995"/>
      <c r="P37" s="1003"/>
      <c r="Q37" s="1011"/>
      <c r="R37" s="937"/>
      <c r="S37" s="885"/>
      <c r="T37" s="885"/>
      <c r="U37" s="885"/>
      <c r="V37" s="885"/>
      <c r="W37" s="885"/>
      <c r="X37" s="885"/>
      <c r="Y37" s="885"/>
      <c r="Z37" s="885"/>
      <c r="AA37" s="885"/>
      <c r="AB37" s="885"/>
      <c r="AC37" s="885"/>
      <c r="AD37" s="885"/>
      <c r="AE37" s="885"/>
      <c r="AF37" s="885"/>
      <c r="AG37" s="885"/>
      <c r="AH37" s="885"/>
      <c r="AI37" s="885"/>
      <c r="AJ37" s="885"/>
      <c r="AK37" s="885"/>
      <c r="AL37" s="885"/>
      <c r="AM37" s="913"/>
    </row>
    <row r="38" spans="1:39">
      <c r="A38" s="864" t="s">
        <v>1752</v>
      </c>
      <c r="B38" s="808"/>
      <c r="C38" s="869">
        <f>Locomotives19!F34</f>
        <v>3.1061731211319832</v>
      </c>
      <c r="D38" s="870">
        <f>FreightEquipData!FB34</f>
        <v>103.19595870533374</v>
      </c>
      <c r="E38" s="870">
        <f>FreightEquipData!FC34</f>
        <v>6183.1578590945792</v>
      </c>
      <c r="F38" s="870">
        <f>FreightEquipData!FD34</f>
        <v>10692.00711276483</v>
      </c>
      <c r="G38" s="870">
        <f>F38/H38</f>
        <v>103.60877738725061</v>
      </c>
      <c r="H38" s="870">
        <f>FreightEquipData!FE34</f>
        <v>103.19595870533374</v>
      </c>
      <c r="I38" s="871">
        <v>0</v>
      </c>
      <c r="J38" s="802"/>
      <c r="K38" s="970">
        <f>SUM(M38:Q38)</f>
        <v>933.96855589444897</v>
      </c>
      <c r="L38" s="1027">
        <f>K38-Q38</f>
        <v>613.74005749453613</v>
      </c>
      <c r="M38" s="1016">
        <f>W38</f>
        <v>210.49791667292376</v>
      </c>
      <c r="N38" s="983">
        <f>AA38</f>
        <v>253.4159284072112</v>
      </c>
      <c r="O38" s="991">
        <f>AE38</f>
        <v>0</v>
      </c>
      <c r="P38" s="999">
        <f>AI38</f>
        <v>149.82621241440123</v>
      </c>
      <c r="Q38" s="1007">
        <f>AM38</f>
        <v>320.22849839991284</v>
      </c>
      <c r="R38" s="936"/>
      <c r="S38" s="826">
        <f>Locomotives19!$B$17*C38</f>
        <v>137.84493347907767</v>
      </c>
      <c r="T38" s="826">
        <f>(Locomotives19!$B$50/24)*C38</f>
        <v>44.9929454684505</v>
      </c>
      <c r="U38" s="826">
        <f>Locomotives19!$B$46*C38</f>
        <v>27.660037725395604</v>
      </c>
      <c r="V38" s="826">
        <v>0</v>
      </c>
      <c r="W38" s="872">
        <f>SUM(S38:V38)</f>
        <v>210.49791667292376</v>
      </c>
      <c r="X38" s="844"/>
      <c r="Y38" s="828">
        <f>D38*FrtEquip19!$B$16</f>
        <v>116.86186736653106</v>
      </c>
      <c r="Z38" s="829">
        <f>D38*FrtEquip19!$B$51</f>
        <v>136.55406104068012</v>
      </c>
      <c r="AA38" s="873">
        <f>Y38+Z38</f>
        <v>253.4159284072112</v>
      </c>
      <c r="AB38" s="844"/>
      <c r="AC38" s="832">
        <v>0</v>
      </c>
      <c r="AD38" s="833">
        <v>0</v>
      </c>
      <c r="AE38" s="874">
        <f>AC38+AD38</f>
        <v>0</v>
      </c>
      <c r="AF38" s="844"/>
      <c r="AG38" s="836">
        <f>Crew19!$B$11*Crew19!$N$9</f>
        <v>106.0416253198395</v>
      </c>
      <c r="AH38" s="837">
        <f>Crew19!$B$11*Crew19!$N$9*(Crew19!$B$14-1)</f>
        <v>43.784587094561736</v>
      </c>
      <c r="AI38" s="875">
        <f>AG38+AH38</f>
        <v>149.82621241440123</v>
      </c>
      <c r="AJ38" s="844"/>
      <c r="AK38" s="840">
        <f>AM38/F38</f>
        <v>2.9950269862578257E-2</v>
      </c>
      <c r="AL38" s="824">
        <f>AM38/H38</f>
        <v>3.1031108428799516</v>
      </c>
      <c r="AM38" s="909">
        <f>FreightEquipData!FF34</f>
        <v>320.22849839991284</v>
      </c>
    </row>
    <row r="39" spans="1:39">
      <c r="A39" s="866" t="s">
        <v>1753</v>
      </c>
      <c r="B39" s="808"/>
      <c r="C39" s="887">
        <f>Locomotives19!F34</f>
        <v>3.1061731211319832</v>
      </c>
      <c r="D39" s="888">
        <f>FreightEquipData!FB34</f>
        <v>103.19595870533374</v>
      </c>
      <c r="E39" s="888">
        <f>FreightEquipData!FC34</f>
        <v>6183.1578590945792</v>
      </c>
      <c r="F39" s="888">
        <f>FreightEquipData!FD34</f>
        <v>10692.00711276483</v>
      </c>
      <c r="G39" s="888">
        <f>F39/H39</f>
        <v>103.60877738725061</v>
      </c>
      <c r="H39" s="888">
        <f>FreightEquipData!FE34</f>
        <v>103.19595870533374</v>
      </c>
      <c r="I39" s="889">
        <v>0</v>
      </c>
      <c r="J39" s="802"/>
      <c r="K39" s="973">
        <f>SUM(M39:Q39)</f>
        <v>1149.2500580239571</v>
      </c>
      <c r="L39" s="1030">
        <f>K39-Q39</f>
        <v>829.02155962404424</v>
      </c>
      <c r="M39" s="1018">
        <f>W39</f>
        <v>425.77941880243179</v>
      </c>
      <c r="N39" s="986">
        <f>AA39</f>
        <v>253.4159284072112</v>
      </c>
      <c r="O39" s="994">
        <f>AE39</f>
        <v>0</v>
      </c>
      <c r="P39" s="1002">
        <f>AI39</f>
        <v>149.82621241440123</v>
      </c>
      <c r="Q39" s="1010">
        <f>AM39</f>
        <v>320.22849839991284</v>
      </c>
      <c r="R39" s="936"/>
      <c r="S39" s="851">
        <f>Locomotives19!$B$17*C39</f>
        <v>137.84493347907767</v>
      </c>
      <c r="T39" s="851">
        <f>(Locomotives19!$B$50/24)*C39</f>
        <v>44.9929454684505</v>
      </c>
      <c r="U39" s="851">
        <v>0</v>
      </c>
      <c r="V39" s="851">
        <f>C39*Locomotives19!$K$44</f>
        <v>242.94153985490362</v>
      </c>
      <c r="W39" s="890">
        <f>SUM(S39:V39)</f>
        <v>425.77941880243179</v>
      </c>
      <c r="X39" s="844"/>
      <c r="Y39" s="849">
        <f>D39*FrtEquip19!$B$16</f>
        <v>116.86186736653106</v>
      </c>
      <c r="Z39" s="850">
        <f>D39*FrtEquip19!$B$51</f>
        <v>136.55406104068012</v>
      </c>
      <c r="AA39" s="891">
        <f>Y39+Z39</f>
        <v>253.4159284072112</v>
      </c>
      <c r="AB39" s="844"/>
      <c r="AC39" s="847">
        <v>0</v>
      </c>
      <c r="AD39" s="848">
        <v>0</v>
      </c>
      <c r="AE39" s="892">
        <f>AC39+AD39</f>
        <v>0</v>
      </c>
      <c r="AF39" s="844"/>
      <c r="AG39" s="845">
        <f>Crew19!$B$11*Crew19!$N$9</f>
        <v>106.0416253198395</v>
      </c>
      <c r="AH39" s="846">
        <f>Crew19!$B$11*Crew19!$N$9*(Crew19!$B$14-1)</f>
        <v>43.784587094561736</v>
      </c>
      <c r="AI39" s="893">
        <f>AG39+AH39</f>
        <v>149.82621241440123</v>
      </c>
      <c r="AJ39" s="844"/>
      <c r="AK39" s="842">
        <f>AM39/F39</f>
        <v>2.9950269862578257E-2</v>
      </c>
      <c r="AL39" s="843">
        <f>AM39/H39</f>
        <v>3.1031108428799516</v>
      </c>
      <c r="AM39" s="914">
        <f>FreightEquipData!FF34</f>
        <v>320.22849839991284</v>
      </c>
    </row>
    <row r="40" spans="1:39">
      <c r="A40" s="866" t="s">
        <v>1754</v>
      </c>
      <c r="B40" s="808"/>
      <c r="C40" s="887">
        <f>Locomotives19!F34</f>
        <v>3.1061731211319832</v>
      </c>
      <c r="D40" s="888">
        <f>FreightEquipData!FB34</f>
        <v>103.19595870533374</v>
      </c>
      <c r="E40" s="888">
        <f>FreightEquipData!FC31</f>
        <v>6300.980944217572</v>
      </c>
      <c r="F40" s="888">
        <v>0</v>
      </c>
      <c r="G40" s="888">
        <v>0</v>
      </c>
      <c r="H40" s="888">
        <v>0</v>
      </c>
      <c r="I40" s="889">
        <v>0</v>
      </c>
      <c r="J40" s="802"/>
      <c r="K40" s="973">
        <f>SUM(M40:Q40)</f>
        <v>613.74005749453613</v>
      </c>
      <c r="L40" s="1030">
        <f>K40-Q40</f>
        <v>613.74005749453613</v>
      </c>
      <c r="M40" s="1018">
        <f>W40</f>
        <v>210.49791667292376</v>
      </c>
      <c r="N40" s="986">
        <f>AA40</f>
        <v>253.4159284072112</v>
      </c>
      <c r="O40" s="994">
        <f>AE40</f>
        <v>0</v>
      </c>
      <c r="P40" s="1002">
        <f>AI40</f>
        <v>149.82621241440123</v>
      </c>
      <c r="Q40" s="1010">
        <f>AM40</f>
        <v>0</v>
      </c>
      <c r="R40" s="936"/>
      <c r="S40" s="851">
        <f>Locomotives19!$B$17*C40</f>
        <v>137.84493347907767</v>
      </c>
      <c r="T40" s="851">
        <f>(Locomotives19!$B$50/24)*C40</f>
        <v>44.9929454684505</v>
      </c>
      <c r="U40" s="851">
        <f>Locomotives19!$B$46*C40</f>
        <v>27.660037725395604</v>
      </c>
      <c r="V40" s="851">
        <v>0</v>
      </c>
      <c r="W40" s="890">
        <f>SUM(S40:V40)</f>
        <v>210.49791667292376</v>
      </c>
      <c r="X40" s="844"/>
      <c r="Y40" s="849">
        <f>D40*FrtEquip19!$B$16</f>
        <v>116.86186736653106</v>
      </c>
      <c r="Z40" s="850">
        <f>D40*FrtEquip19!$B$51</f>
        <v>136.55406104068012</v>
      </c>
      <c r="AA40" s="891">
        <f>Y40+Z40</f>
        <v>253.4159284072112</v>
      </c>
      <c r="AB40" s="844"/>
      <c r="AC40" s="847">
        <v>0</v>
      </c>
      <c r="AD40" s="848">
        <v>0</v>
      </c>
      <c r="AE40" s="892">
        <f>AC40+AD40</f>
        <v>0</v>
      </c>
      <c r="AF40" s="844"/>
      <c r="AG40" s="845">
        <f>Crew19!$B$11*Crew19!$N$9</f>
        <v>106.0416253198395</v>
      </c>
      <c r="AH40" s="846">
        <f>Crew19!$B$11*Crew19!$N$9*(Crew19!$B$14-1)</f>
        <v>43.784587094561736</v>
      </c>
      <c r="AI40" s="893">
        <f>AG40+AH40</f>
        <v>149.82621241440123</v>
      </c>
      <c r="AJ40" s="844"/>
      <c r="AK40" s="842">
        <v>0</v>
      </c>
      <c r="AL40" s="843">
        <v>0</v>
      </c>
      <c r="AM40" s="894">
        <v>0</v>
      </c>
    </row>
    <row r="41" spans="1:39">
      <c r="A41" s="865" t="s">
        <v>1755</v>
      </c>
      <c r="B41" s="808"/>
      <c r="C41" s="877">
        <f>Locomotives19!F34</f>
        <v>3.1061731211319832</v>
      </c>
      <c r="D41" s="878">
        <f>FreightEquipData!FB34</f>
        <v>103.19595870533374</v>
      </c>
      <c r="E41" s="878">
        <f>FreightEquipData!FC31</f>
        <v>6300.980944217572</v>
      </c>
      <c r="F41" s="878">
        <v>0</v>
      </c>
      <c r="G41" s="878">
        <v>0</v>
      </c>
      <c r="H41" s="878">
        <v>0</v>
      </c>
      <c r="I41" s="879">
        <v>0</v>
      </c>
      <c r="J41" s="802"/>
      <c r="K41" s="971">
        <f>SUM(M41:Q41)</f>
        <v>829.02155962404413</v>
      </c>
      <c r="L41" s="1028">
        <f>K41-Q41</f>
        <v>829.02155962404413</v>
      </c>
      <c r="M41" s="1017">
        <f>W41</f>
        <v>425.77941880243179</v>
      </c>
      <c r="N41" s="984">
        <f>AA41</f>
        <v>253.4159284072112</v>
      </c>
      <c r="O41" s="992">
        <f>AE41</f>
        <v>0</v>
      </c>
      <c r="P41" s="1000">
        <f>AI41</f>
        <v>149.82621241440123</v>
      </c>
      <c r="Q41" s="1008">
        <f>AM41</f>
        <v>0</v>
      </c>
      <c r="R41" s="936"/>
      <c r="S41" s="827">
        <f>Locomotives19!$B$17*C41</f>
        <v>137.84493347907767</v>
      </c>
      <c r="T41" s="827">
        <f>(Locomotives19!$B$50/24)*C41</f>
        <v>44.9929454684505</v>
      </c>
      <c r="U41" s="827">
        <v>0</v>
      </c>
      <c r="V41" s="827">
        <f>C41*Locomotives19!$K$44</f>
        <v>242.94153985490362</v>
      </c>
      <c r="W41" s="880">
        <f>SUM(S41:V41)</f>
        <v>425.77941880243179</v>
      </c>
      <c r="X41" s="844"/>
      <c r="Y41" s="830">
        <f>D41*FrtEquip19!$B$16</f>
        <v>116.86186736653106</v>
      </c>
      <c r="Z41" s="831">
        <f>D41*FrtEquip19!$B$51</f>
        <v>136.55406104068012</v>
      </c>
      <c r="AA41" s="881">
        <f>Y41+Z41</f>
        <v>253.4159284072112</v>
      </c>
      <c r="AB41" s="844"/>
      <c r="AC41" s="834">
        <v>0</v>
      </c>
      <c r="AD41" s="835">
        <v>0</v>
      </c>
      <c r="AE41" s="882">
        <f>AC41+AD41</f>
        <v>0</v>
      </c>
      <c r="AF41" s="844"/>
      <c r="AG41" s="838">
        <f>Crew19!$B$11*Crew19!$N$9</f>
        <v>106.0416253198395</v>
      </c>
      <c r="AH41" s="839">
        <f>Crew19!$B$11*Crew19!$N$9*(Crew19!$B$14-1)</f>
        <v>43.784587094561736</v>
      </c>
      <c r="AI41" s="883">
        <f>AG41+AH41</f>
        <v>149.82621241440123</v>
      </c>
      <c r="AJ41" s="844"/>
      <c r="AK41" s="841">
        <v>0</v>
      </c>
      <c r="AL41" s="825">
        <v>0</v>
      </c>
      <c r="AM41" s="884">
        <v>0</v>
      </c>
    </row>
    <row r="42" spans="1:39" ht="4" customHeight="1">
      <c r="A42" s="820"/>
      <c r="B42" s="808"/>
      <c r="C42" s="885"/>
      <c r="D42" s="885"/>
      <c r="E42" s="885"/>
      <c r="F42" s="885"/>
      <c r="G42" s="885"/>
      <c r="H42" s="885"/>
      <c r="I42" s="885"/>
      <c r="J42" s="885"/>
      <c r="K42" s="974"/>
      <c r="L42" s="1031"/>
      <c r="M42" s="980"/>
      <c r="N42" s="987"/>
      <c r="O42" s="995"/>
      <c r="P42" s="1003"/>
      <c r="Q42" s="1011"/>
      <c r="R42" s="937"/>
      <c r="S42" s="885"/>
      <c r="T42" s="885"/>
      <c r="U42" s="885"/>
      <c r="V42" s="885"/>
      <c r="W42" s="885"/>
      <c r="X42" s="885"/>
      <c r="Y42" s="885"/>
      <c r="Z42" s="885"/>
      <c r="AA42" s="885"/>
      <c r="AB42" s="885"/>
      <c r="AC42" s="885"/>
      <c r="AD42" s="885"/>
      <c r="AE42" s="885"/>
      <c r="AF42" s="885"/>
      <c r="AG42" s="885"/>
      <c r="AH42" s="885"/>
      <c r="AI42" s="885"/>
      <c r="AJ42" s="885"/>
      <c r="AK42" s="885"/>
      <c r="AL42" s="885"/>
      <c r="AM42" s="913"/>
    </row>
    <row r="43" spans="1:39">
      <c r="A43" s="864" t="s">
        <v>1756</v>
      </c>
      <c r="B43" s="808"/>
      <c r="C43" s="869">
        <f>Locomotives19!F34</f>
        <v>3.1061731211319832</v>
      </c>
      <c r="D43" s="870">
        <f>FreightEquipData!FB37</f>
        <v>105.16240797025155</v>
      </c>
      <c r="E43" s="870">
        <f>FreightEquipData!FC37</f>
        <v>6300.980944217572</v>
      </c>
      <c r="F43" s="870">
        <f>FreightEquipData!FD37</f>
        <v>11324.026021647005</v>
      </c>
      <c r="G43" s="870">
        <f>F43/H43</f>
        <v>107.68131160376583</v>
      </c>
      <c r="H43" s="870">
        <f>FreightEquipData!FE37</f>
        <v>105.16240797025155</v>
      </c>
      <c r="I43" s="871">
        <v>0</v>
      </c>
      <c r="J43" s="802"/>
      <c r="K43" s="970">
        <f>SUM(M43:Q43)</f>
        <v>774.49141274975318</v>
      </c>
      <c r="L43" s="1027">
        <f>K43-Q43</f>
        <v>618.56902146160155</v>
      </c>
      <c r="M43" s="1016">
        <f>W43</f>
        <v>210.49791667292376</v>
      </c>
      <c r="N43" s="983">
        <f>AA43</f>
        <v>258.24489237427656</v>
      </c>
      <c r="O43" s="991">
        <f>AE43</f>
        <v>0</v>
      </c>
      <c r="P43" s="999">
        <f>AI43</f>
        <v>149.82621241440123</v>
      </c>
      <c r="Q43" s="1007">
        <f>AM43</f>
        <v>155.92239128815163</v>
      </c>
      <c r="R43" s="936"/>
      <c r="S43" s="826">
        <f>Locomotives19!$B$17*C43</f>
        <v>137.84493347907767</v>
      </c>
      <c r="T43" s="826">
        <f>(Locomotives19!$B$50/24)*C43</f>
        <v>44.9929454684505</v>
      </c>
      <c r="U43" s="826">
        <f>Locomotives19!$B$46*C43</f>
        <v>27.660037725395604</v>
      </c>
      <c r="V43" s="826">
        <v>0</v>
      </c>
      <c r="W43" s="872">
        <f>SUM(S43:V43)</f>
        <v>210.49791667292376</v>
      </c>
      <c r="X43" s="844"/>
      <c r="Y43" s="828">
        <f>D43*FrtEquip19!$B$16</f>
        <v>119.08872717831902</v>
      </c>
      <c r="Z43" s="829">
        <f>D43*FrtEquip19!$B$51</f>
        <v>139.15616519595756</v>
      </c>
      <c r="AA43" s="873">
        <f>Y43+Z43</f>
        <v>258.24489237427656</v>
      </c>
      <c r="AB43" s="844"/>
      <c r="AC43" s="832">
        <v>0</v>
      </c>
      <c r="AD43" s="833">
        <v>0</v>
      </c>
      <c r="AE43" s="874">
        <f>AC43+AD43</f>
        <v>0</v>
      </c>
      <c r="AF43" s="844"/>
      <c r="AG43" s="836">
        <f>Crew19!$B$11*Crew19!$N$9</f>
        <v>106.0416253198395</v>
      </c>
      <c r="AH43" s="837">
        <f>Crew19!$B$11*Crew19!$N$9*(Crew19!$B$14-1)</f>
        <v>43.784587094561736</v>
      </c>
      <c r="AI43" s="875">
        <f>AG43+AH43</f>
        <v>149.82621241440123</v>
      </c>
      <c r="AJ43" s="844"/>
      <c r="AK43" s="840">
        <f>AM43/F43</f>
        <v>1.3769165753424659E-2</v>
      </c>
      <c r="AL43" s="824">
        <f>AM43/H43</f>
        <v>1.482681828018422</v>
      </c>
      <c r="AM43" s="909">
        <f>FreightEquipData!FF37</f>
        <v>155.92239128815163</v>
      </c>
    </row>
    <row r="44" spans="1:39">
      <c r="A44" s="866" t="s">
        <v>1757</v>
      </c>
      <c r="B44" s="808"/>
      <c r="C44" s="887">
        <f>Locomotives19!F34</f>
        <v>3.1061731211319832</v>
      </c>
      <c r="D44" s="888">
        <f>FreightEquipData!FB37</f>
        <v>105.16240797025155</v>
      </c>
      <c r="E44" s="888">
        <f>FreightEquipData!FC37</f>
        <v>6300.980944217572</v>
      </c>
      <c r="F44" s="888">
        <f>FreightEquipData!FD37</f>
        <v>11324.026021647005</v>
      </c>
      <c r="G44" s="888">
        <f>F44/H44</f>
        <v>107.68131160376583</v>
      </c>
      <c r="H44" s="888">
        <f>FreightEquipData!FE37</f>
        <v>105.16240797025155</v>
      </c>
      <c r="I44" s="889">
        <v>0</v>
      </c>
      <c r="J44" s="802"/>
      <c r="K44" s="973">
        <f>SUM(M44:Q44)</f>
        <v>989.77291487926118</v>
      </c>
      <c r="L44" s="1030">
        <f>K44-Q44</f>
        <v>833.85052359110955</v>
      </c>
      <c r="M44" s="1018">
        <f>W44</f>
        <v>425.77941880243179</v>
      </c>
      <c r="N44" s="986">
        <f>AA44</f>
        <v>258.24489237427656</v>
      </c>
      <c r="O44" s="994">
        <f>AE44</f>
        <v>0</v>
      </c>
      <c r="P44" s="1002">
        <f>AI44</f>
        <v>149.82621241440123</v>
      </c>
      <c r="Q44" s="1010">
        <f>AM44</f>
        <v>155.92239128815163</v>
      </c>
      <c r="R44" s="936"/>
      <c r="S44" s="851">
        <f>Locomotives19!$B$17*C44</f>
        <v>137.84493347907767</v>
      </c>
      <c r="T44" s="851">
        <f>(Locomotives19!$B$50/24)*C44</f>
        <v>44.9929454684505</v>
      </c>
      <c r="U44" s="851">
        <v>0</v>
      </c>
      <c r="V44" s="851">
        <f>C44*Locomotives19!$K$44</f>
        <v>242.94153985490362</v>
      </c>
      <c r="W44" s="890">
        <f>SUM(S44:V44)</f>
        <v>425.77941880243179</v>
      </c>
      <c r="X44" s="844"/>
      <c r="Y44" s="849">
        <f>D44*FrtEquip19!$B$16</f>
        <v>119.08872717831902</v>
      </c>
      <c r="Z44" s="850">
        <f>D44*FrtEquip19!$B$51</f>
        <v>139.15616519595756</v>
      </c>
      <c r="AA44" s="891">
        <f>Y44+Z44</f>
        <v>258.24489237427656</v>
      </c>
      <c r="AB44" s="844"/>
      <c r="AC44" s="847">
        <v>0</v>
      </c>
      <c r="AD44" s="848">
        <v>0</v>
      </c>
      <c r="AE44" s="892">
        <f>AC44+AD44</f>
        <v>0</v>
      </c>
      <c r="AF44" s="844"/>
      <c r="AG44" s="845">
        <f>Crew19!$B$11*Crew19!$N$9</f>
        <v>106.0416253198395</v>
      </c>
      <c r="AH44" s="846">
        <f>Crew19!$B$11*Crew19!$N$9*(Crew19!$B$14-1)</f>
        <v>43.784587094561736</v>
      </c>
      <c r="AI44" s="893">
        <f>AG44+AH44</f>
        <v>149.82621241440123</v>
      </c>
      <c r="AJ44" s="844"/>
      <c r="AK44" s="842">
        <f>AM44/F44</f>
        <v>1.3769165753424659E-2</v>
      </c>
      <c r="AL44" s="843">
        <f>AM44/H44</f>
        <v>1.482681828018422</v>
      </c>
      <c r="AM44" s="914">
        <f>FreightEquipData!FF37</f>
        <v>155.92239128815163</v>
      </c>
    </row>
    <row r="45" spans="1:39">
      <c r="A45" s="866" t="s">
        <v>1758</v>
      </c>
      <c r="B45" s="808"/>
      <c r="C45" s="887">
        <f>Locomotives19!F34</f>
        <v>3.1061731211319832</v>
      </c>
      <c r="D45" s="888">
        <f>FreightEquipData!FB37</f>
        <v>105.16240797025155</v>
      </c>
      <c r="E45" s="888">
        <f>FreightEquipData!FC37</f>
        <v>6300.980944217572</v>
      </c>
      <c r="F45" s="888">
        <v>0</v>
      </c>
      <c r="G45" s="888">
        <v>0</v>
      </c>
      <c r="H45" s="888">
        <v>0</v>
      </c>
      <c r="I45" s="889">
        <v>0</v>
      </c>
      <c r="J45" s="802"/>
      <c r="K45" s="973">
        <f>SUM(M45:Q45)</f>
        <v>618.56902146160155</v>
      </c>
      <c r="L45" s="1030">
        <f>K45-Q45</f>
        <v>618.56902146160155</v>
      </c>
      <c r="M45" s="1018">
        <f>W45</f>
        <v>210.49791667292376</v>
      </c>
      <c r="N45" s="986">
        <f>AA45</f>
        <v>258.24489237427656</v>
      </c>
      <c r="O45" s="994">
        <f>AE45</f>
        <v>0</v>
      </c>
      <c r="P45" s="1002">
        <f>AI45</f>
        <v>149.82621241440123</v>
      </c>
      <c r="Q45" s="1010">
        <f>AM45</f>
        <v>0</v>
      </c>
      <c r="R45" s="936"/>
      <c r="S45" s="851">
        <f>Locomotives19!$B$17*C45</f>
        <v>137.84493347907767</v>
      </c>
      <c r="T45" s="851">
        <f>(Locomotives19!$B$50/24)*C45</f>
        <v>44.9929454684505</v>
      </c>
      <c r="U45" s="851">
        <f>Locomotives19!$B$46*C45</f>
        <v>27.660037725395604</v>
      </c>
      <c r="V45" s="851">
        <v>0</v>
      </c>
      <c r="W45" s="890">
        <f>SUM(S45:V45)</f>
        <v>210.49791667292376</v>
      </c>
      <c r="X45" s="844"/>
      <c r="Y45" s="849">
        <f>D45*FrtEquip19!$B$16</f>
        <v>119.08872717831902</v>
      </c>
      <c r="Z45" s="850">
        <f>D45*FrtEquip19!$B$51</f>
        <v>139.15616519595756</v>
      </c>
      <c r="AA45" s="891">
        <f>Y45+Z45</f>
        <v>258.24489237427656</v>
      </c>
      <c r="AB45" s="844"/>
      <c r="AC45" s="847">
        <v>0</v>
      </c>
      <c r="AD45" s="848">
        <v>0</v>
      </c>
      <c r="AE45" s="892">
        <f>AC45+AD45</f>
        <v>0</v>
      </c>
      <c r="AF45" s="844"/>
      <c r="AG45" s="845">
        <f>Crew19!$B$11*Crew19!$N$9</f>
        <v>106.0416253198395</v>
      </c>
      <c r="AH45" s="846">
        <f>Crew19!$B$11*Crew19!$N$9*(Crew19!$B$14-1)</f>
        <v>43.784587094561736</v>
      </c>
      <c r="AI45" s="893">
        <f>AG45+AH45</f>
        <v>149.82621241440123</v>
      </c>
      <c r="AJ45" s="844"/>
      <c r="AK45" s="842">
        <v>0</v>
      </c>
      <c r="AL45" s="843">
        <v>0</v>
      </c>
      <c r="AM45" s="894">
        <v>0</v>
      </c>
    </row>
    <row r="46" spans="1:39">
      <c r="A46" s="865" t="s">
        <v>1759</v>
      </c>
      <c r="B46" s="808"/>
      <c r="C46" s="877">
        <f>Locomotives19!F34</f>
        <v>3.1061731211319832</v>
      </c>
      <c r="D46" s="878">
        <f>FreightEquipData!FB37</f>
        <v>105.16240797025155</v>
      </c>
      <c r="E46" s="878">
        <f>FreightEquipData!FC37</f>
        <v>6300.980944217572</v>
      </c>
      <c r="F46" s="878">
        <v>0</v>
      </c>
      <c r="G46" s="878">
        <v>0</v>
      </c>
      <c r="H46" s="878">
        <v>0</v>
      </c>
      <c r="I46" s="879">
        <v>0</v>
      </c>
      <c r="J46" s="802"/>
      <c r="K46" s="971">
        <f>SUM(M46:Q46)</f>
        <v>833.85052359110955</v>
      </c>
      <c r="L46" s="1028">
        <f>K46-Q46</f>
        <v>833.85052359110955</v>
      </c>
      <c r="M46" s="1017">
        <f>W46</f>
        <v>425.77941880243179</v>
      </c>
      <c r="N46" s="984">
        <f>AA46</f>
        <v>258.24489237427656</v>
      </c>
      <c r="O46" s="992">
        <f>AE46</f>
        <v>0</v>
      </c>
      <c r="P46" s="1000">
        <f>AI46</f>
        <v>149.82621241440123</v>
      </c>
      <c r="Q46" s="1008">
        <f>AM46</f>
        <v>0</v>
      </c>
      <c r="R46" s="936"/>
      <c r="S46" s="827">
        <f>Locomotives19!$B$17*C46</f>
        <v>137.84493347907767</v>
      </c>
      <c r="T46" s="827">
        <f>(Locomotives19!$B$50/24)*C46</f>
        <v>44.9929454684505</v>
      </c>
      <c r="U46" s="827">
        <v>0</v>
      </c>
      <c r="V46" s="827">
        <f>C46*Locomotives19!$K$44</f>
        <v>242.94153985490362</v>
      </c>
      <c r="W46" s="880">
        <f>SUM(S46:V46)</f>
        <v>425.77941880243179</v>
      </c>
      <c r="X46" s="844"/>
      <c r="Y46" s="830">
        <f>D46*FrtEquip19!$B$16</f>
        <v>119.08872717831902</v>
      </c>
      <c r="Z46" s="831">
        <f>D46*FrtEquip19!$B$51</f>
        <v>139.15616519595756</v>
      </c>
      <c r="AA46" s="881">
        <f>Y46+Z46</f>
        <v>258.24489237427656</v>
      </c>
      <c r="AB46" s="844"/>
      <c r="AC46" s="834">
        <v>0</v>
      </c>
      <c r="AD46" s="835">
        <v>0</v>
      </c>
      <c r="AE46" s="882">
        <f>AC46+AD46</f>
        <v>0</v>
      </c>
      <c r="AF46" s="844"/>
      <c r="AG46" s="838">
        <f>Crew19!$B$11*Crew19!$N$9</f>
        <v>106.0416253198395</v>
      </c>
      <c r="AH46" s="839">
        <f>Crew19!$B$11*Crew19!$N$9*(Crew19!$B$14-1)</f>
        <v>43.784587094561736</v>
      </c>
      <c r="AI46" s="883">
        <f>AG46+AH46</f>
        <v>149.82621241440123</v>
      </c>
      <c r="AJ46" s="844"/>
      <c r="AK46" s="841">
        <v>0</v>
      </c>
      <c r="AL46" s="825">
        <v>0</v>
      </c>
      <c r="AM46" s="884">
        <v>0</v>
      </c>
    </row>
    <row r="47" spans="1:39" ht="4" customHeight="1">
      <c r="A47" s="820"/>
      <c r="B47" s="808"/>
      <c r="C47" s="885"/>
      <c r="D47" s="885"/>
      <c r="E47" s="885"/>
      <c r="F47" s="885"/>
      <c r="G47" s="885"/>
      <c r="H47" s="885"/>
      <c r="I47" s="885"/>
      <c r="J47" s="885"/>
      <c r="K47" s="974"/>
      <c r="L47" s="1031"/>
      <c r="M47" s="980"/>
      <c r="N47" s="987"/>
      <c r="O47" s="995"/>
      <c r="P47" s="1003"/>
      <c r="Q47" s="1011"/>
      <c r="R47" s="937"/>
      <c r="S47" s="885"/>
      <c r="T47" s="885"/>
      <c r="U47" s="885"/>
      <c r="V47" s="885"/>
      <c r="W47" s="885"/>
      <c r="X47" s="885"/>
      <c r="Y47" s="885"/>
      <c r="Z47" s="885"/>
      <c r="AA47" s="885"/>
      <c r="AB47" s="885"/>
      <c r="AC47" s="885"/>
      <c r="AD47" s="885"/>
      <c r="AE47" s="885"/>
      <c r="AF47" s="885"/>
      <c r="AG47" s="885"/>
      <c r="AH47" s="885"/>
      <c r="AI47" s="885"/>
      <c r="AJ47" s="885"/>
      <c r="AK47" s="885"/>
      <c r="AL47" s="885"/>
      <c r="AM47" s="913"/>
    </row>
    <row r="48" spans="1:39">
      <c r="A48" s="864" t="s">
        <v>1760</v>
      </c>
      <c r="B48" s="808"/>
      <c r="C48" s="869">
        <f>Locomotives19!F34</f>
        <v>3.1061731211319832</v>
      </c>
      <c r="D48" s="870">
        <f>FreightEquipData!FB40</f>
        <v>105.16240797025155</v>
      </c>
      <c r="E48" s="870">
        <f>FreightEquipData!FC40</f>
        <v>6300.980944217572</v>
      </c>
      <c r="F48" s="870">
        <f>FreightEquipData!FD40</f>
        <v>11031.241202901092</v>
      </c>
      <c r="G48" s="870">
        <f>F48/H48</f>
        <v>104.89719107631713</v>
      </c>
      <c r="H48" s="870">
        <f>FreightEquipData!FE40</f>
        <v>105.16240797025155</v>
      </c>
      <c r="I48" s="871">
        <v>0</v>
      </c>
      <c r="J48" s="802"/>
      <c r="K48" s="970">
        <f>SUM(M48:Q48)</f>
        <v>1115.9266248902356</v>
      </c>
      <c r="L48" s="1027">
        <f>K48-Q48</f>
        <v>618.56902146160155</v>
      </c>
      <c r="M48" s="1016">
        <f>W48</f>
        <v>210.49791667292376</v>
      </c>
      <c r="N48" s="983">
        <f>AA48</f>
        <v>258.24489237427656</v>
      </c>
      <c r="O48" s="991">
        <f>AE48</f>
        <v>0</v>
      </c>
      <c r="P48" s="999">
        <f>AI48</f>
        <v>149.82621241440123</v>
      </c>
      <c r="Q48" s="1007">
        <f>AM48</f>
        <v>497.35760342863404</v>
      </c>
      <c r="R48" s="936"/>
      <c r="S48" s="826">
        <f>Locomotives19!$B$17*C48</f>
        <v>137.84493347907767</v>
      </c>
      <c r="T48" s="826">
        <f>(Locomotives19!$B$50/24)*C48</f>
        <v>44.9929454684505</v>
      </c>
      <c r="U48" s="826">
        <f>Locomotives19!$B$46*C48</f>
        <v>27.660037725395604</v>
      </c>
      <c r="V48" s="826">
        <v>0</v>
      </c>
      <c r="W48" s="872">
        <f>SUM(S48:V48)</f>
        <v>210.49791667292376</v>
      </c>
      <c r="X48" s="844"/>
      <c r="Y48" s="828">
        <f>D48*FrtEquip19!$B$16</f>
        <v>119.08872717831902</v>
      </c>
      <c r="Z48" s="829">
        <f>D48*FrtEquip19!$B$51</f>
        <v>139.15616519595756</v>
      </c>
      <c r="AA48" s="873">
        <f>Y48+Z48</f>
        <v>258.24489237427656</v>
      </c>
      <c r="AB48" s="844"/>
      <c r="AC48" s="832">
        <v>0</v>
      </c>
      <c r="AD48" s="833">
        <v>0</v>
      </c>
      <c r="AE48" s="874">
        <f>AC48+AD48</f>
        <v>0</v>
      </c>
      <c r="AF48" s="844"/>
      <c r="AG48" s="836">
        <f>Crew19!$B$11*Crew19!$N$9</f>
        <v>106.0416253198395</v>
      </c>
      <c r="AH48" s="837">
        <f>Crew19!$B$11*Crew19!$N$9*(Crew19!$B$14-1)</f>
        <v>43.784587094561736</v>
      </c>
      <c r="AI48" s="875">
        <f>AG48+AH48</f>
        <v>149.82621241440123</v>
      </c>
      <c r="AJ48" s="844"/>
      <c r="AK48" s="840">
        <f>AM48/F48</f>
        <v>4.5086277625570784E-2</v>
      </c>
      <c r="AL48" s="824">
        <f>AM48/H48</f>
        <v>4.7294238790093797</v>
      </c>
      <c r="AM48" s="909">
        <f>FreightEquipData!FF40</f>
        <v>497.35760342863404</v>
      </c>
    </row>
    <row r="49" spans="1:39">
      <c r="A49" s="866" t="s">
        <v>1761</v>
      </c>
      <c r="B49" s="808"/>
      <c r="C49" s="887">
        <f>Locomotives19!F34</f>
        <v>3.1061731211319832</v>
      </c>
      <c r="D49" s="888">
        <f>FreightEquipData!FB40</f>
        <v>105.16240797025155</v>
      </c>
      <c r="E49" s="888">
        <f>FreightEquipData!FC40</f>
        <v>6300.980944217572</v>
      </c>
      <c r="F49" s="888">
        <f>FreightEquipData!FD40</f>
        <v>11031.241202901092</v>
      </c>
      <c r="G49" s="888">
        <f>F49/H49</f>
        <v>104.89719107631713</v>
      </c>
      <c r="H49" s="888">
        <f>FreightEquipData!FE40</f>
        <v>105.16240797025155</v>
      </c>
      <c r="I49" s="889">
        <v>0</v>
      </c>
      <c r="J49" s="802"/>
      <c r="K49" s="973">
        <f>SUM(M49:Q49)</f>
        <v>1331.2081270197436</v>
      </c>
      <c r="L49" s="1030">
        <f>K49-Q49</f>
        <v>833.85052359110955</v>
      </c>
      <c r="M49" s="1018">
        <f>W49</f>
        <v>425.77941880243179</v>
      </c>
      <c r="N49" s="986">
        <f>AA49</f>
        <v>258.24489237427656</v>
      </c>
      <c r="O49" s="994">
        <f>AE49</f>
        <v>0</v>
      </c>
      <c r="P49" s="1002">
        <f>AI49</f>
        <v>149.82621241440123</v>
      </c>
      <c r="Q49" s="1010">
        <f>AM49</f>
        <v>497.35760342863404</v>
      </c>
      <c r="R49" s="936"/>
      <c r="S49" s="851">
        <f>Locomotives19!$B$17*C49</f>
        <v>137.84493347907767</v>
      </c>
      <c r="T49" s="851">
        <f>(Locomotives19!$B$50/24)*C49</f>
        <v>44.9929454684505</v>
      </c>
      <c r="U49" s="851">
        <v>0</v>
      </c>
      <c r="V49" s="851">
        <f>C49*Locomotives19!$K$44</f>
        <v>242.94153985490362</v>
      </c>
      <c r="W49" s="890">
        <f>SUM(S49:V49)</f>
        <v>425.77941880243179</v>
      </c>
      <c r="X49" s="844"/>
      <c r="Y49" s="849">
        <f>D49*FrtEquip19!$B$16</f>
        <v>119.08872717831902</v>
      </c>
      <c r="Z49" s="850">
        <f>D49*FrtEquip19!$B$51</f>
        <v>139.15616519595756</v>
      </c>
      <c r="AA49" s="891">
        <f>Y49+Z49</f>
        <v>258.24489237427656</v>
      </c>
      <c r="AB49" s="844"/>
      <c r="AC49" s="847">
        <v>0</v>
      </c>
      <c r="AD49" s="848">
        <v>0</v>
      </c>
      <c r="AE49" s="892">
        <f>AC49+AD49</f>
        <v>0</v>
      </c>
      <c r="AF49" s="844"/>
      <c r="AG49" s="845">
        <f>Crew19!$B$11*Crew19!$N$9</f>
        <v>106.0416253198395</v>
      </c>
      <c r="AH49" s="846">
        <f>Crew19!$B$11*Crew19!$N$9*(Crew19!$B$14-1)</f>
        <v>43.784587094561736</v>
      </c>
      <c r="AI49" s="893">
        <f>AG49+AH49</f>
        <v>149.82621241440123</v>
      </c>
      <c r="AJ49" s="844"/>
      <c r="AK49" s="842">
        <f>AM49/F49</f>
        <v>4.5086277625570784E-2</v>
      </c>
      <c r="AL49" s="843">
        <f>AM49/H49</f>
        <v>4.7294238790093797</v>
      </c>
      <c r="AM49" s="914">
        <f>FreightEquipData!FF40</f>
        <v>497.35760342863404</v>
      </c>
    </row>
    <row r="50" spans="1:39">
      <c r="A50" s="866" t="s">
        <v>1762</v>
      </c>
      <c r="B50" s="808"/>
      <c r="C50" s="887">
        <f>Locomotives19!F34</f>
        <v>3.1061731211319832</v>
      </c>
      <c r="D50" s="888">
        <f>FreightEquipData!FB40</f>
        <v>105.16240797025155</v>
      </c>
      <c r="E50" s="888">
        <f>FreightEquipData!FC40</f>
        <v>6300.980944217572</v>
      </c>
      <c r="F50" s="888">
        <v>0</v>
      </c>
      <c r="G50" s="888">
        <v>0</v>
      </c>
      <c r="H50" s="888">
        <v>0</v>
      </c>
      <c r="I50" s="889">
        <v>0</v>
      </c>
      <c r="J50" s="802"/>
      <c r="K50" s="973">
        <f>SUM(M50:Q50)</f>
        <v>618.56902146160155</v>
      </c>
      <c r="L50" s="1030">
        <f>K50-Q50</f>
        <v>618.56902146160155</v>
      </c>
      <c r="M50" s="1018">
        <f>W50</f>
        <v>210.49791667292376</v>
      </c>
      <c r="N50" s="986">
        <f>AA50</f>
        <v>258.24489237427656</v>
      </c>
      <c r="O50" s="994">
        <f>AE50</f>
        <v>0</v>
      </c>
      <c r="P50" s="1002">
        <f>AI50</f>
        <v>149.82621241440123</v>
      </c>
      <c r="Q50" s="1010">
        <f>AM50</f>
        <v>0</v>
      </c>
      <c r="R50" s="936"/>
      <c r="S50" s="851">
        <f>Locomotives19!$B$17*C50</f>
        <v>137.84493347907767</v>
      </c>
      <c r="T50" s="851">
        <f>(Locomotives19!$B$50/24)*C50</f>
        <v>44.9929454684505</v>
      </c>
      <c r="U50" s="851">
        <f>Locomotives19!$B$46*C50</f>
        <v>27.660037725395604</v>
      </c>
      <c r="V50" s="851">
        <v>0</v>
      </c>
      <c r="W50" s="890">
        <f>SUM(S50:V50)</f>
        <v>210.49791667292376</v>
      </c>
      <c r="X50" s="844"/>
      <c r="Y50" s="849">
        <f>D50*FrtEquip19!$B$16</f>
        <v>119.08872717831902</v>
      </c>
      <c r="Z50" s="850">
        <f>D50*FrtEquip19!$B$51</f>
        <v>139.15616519595756</v>
      </c>
      <c r="AA50" s="891">
        <f>Y50+Z50</f>
        <v>258.24489237427656</v>
      </c>
      <c r="AB50" s="844"/>
      <c r="AC50" s="847">
        <v>0</v>
      </c>
      <c r="AD50" s="848">
        <v>0</v>
      </c>
      <c r="AE50" s="892">
        <f>AC50+AD50</f>
        <v>0</v>
      </c>
      <c r="AF50" s="844"/>
      <c r="AG50" s="845">
        <f>Crew19!$B$11*Crew19!$N$9</f>
        <v>106.0416253198395</v>
      </c>
      <c r="AH50" s="846">
        <f>Crew19!$B$11*Crew19!$N$9*(Crew19!$B$14-1)</f>
        <v>43.784587094561736</v>
      </c>
      <c r="AI50" s="893">
        <f>AG50+AH50</f>
        <v>149.82621241440123</v>
      </c>
      <c r="AJ50" s="844"/>
      <c r="AK50" s="842">
        <v>0</v>
      </c>
      <c r="AL50" s="843">
        <v>0</v>
      </c>
      <c r="AM50" s="894">
        <v>0</v>
      </c>
    </row>
    <row r="51" spans="1:39">
      <c r="A51" s="865" t="s">
        <v>1763</v>
      </c>
      <c r="B51" s="808"/>
      <c r="C51" s="877">
        <f>Locomotives19!F34</f>
        <v>3.1061731211319832</v>
      </c>
      <c r="D51" s="878">
        <f>FreightEquipData!FB40</f>
        <v>105.16240797025155</v>
      </c>
      <c r="E51" s="878">
        <f>FreightEquipData!FC40</f>
        <v>6300.980944217572</v>
      </c>
      <c r="F51" s="878">
        <v>0</v>
      </c>
      <c r="G51" s="878">
        <v>0</v>
      </c>
      <c r="H51" s="878">
        <v>0</v>
      </c>
      <c r="I51" s="879">
        <v>0</v>
      </c>
      <c r="J51" s="802"/>
      <c r="K51" s="971">
        <f>SUM(M51:Q51)</f>
        <v>833.85052359110955</v>
      </c>
      <c r="L51" s="1028">
        <f>K51-Q51</f>
        <v>833.85052359110955</v>
      </c>
      <c r="M51" s="1017">
        <f>W51</f>
        <v>425.77941880243179</v>
      </c>
      <c r="N51" s="984">
        <f>AA51</f>
        <v>258.24489237427656</v>
      </c>
      <c r="O51" s="992">
        <f>AE51</f>
        <v>0</v>
      </c>
      <c r="P51" s="1000">
        <f>AI51</f>
        <v>149.82621241440123</v>
      </c>
      <c r="Q51" s="1008">
        <f>AM51</f>
        <v>0</v>
      </c>
      <c r="R51" s="936"/>
      <c r="S51" s="827">
        <f>Locomotives19!$B$17*C51</f>
        <v>137.84493347907767</v>
      </c>
      <c r="T51" s="827">
        <f>(Locomotives19!$B$50/24)*C51</f>
        <v>44.9929454684505</v>
      </c>
      <c r="U51" s="827">
        <v>0</v>
      </c>
      <c r="V51" s="827">
        <f>C51*Locomotives19!$K$44</f>
        <v>242.94153985490362</v>
      </c>
      <c r="W51" s="880">
        <f>SUM(S51:V51)</f>
        <v>425.77941880243179</v>
      </c>
      <c r="X51" s="844"/>
      <c r="Y51" s="830">
        <f>D51*FrtEquip19!$B$16</f>
        <v>119.08872717831902</v>
      </c>
      <c r="Z51" s="831">
        <f>D51*FrtEquip19!$B$51</f>
        <v>139.15616519595756</v>
      </c>
      <c r="AA51" s="881">
        <f>Y51+Z51</f>
        <v>258.24489237427656</v>
      </c>
      <c r="AB51" s="844"/>
      <c r="AC51" s="834">
        <v>0</v>
      </c>
      <c r="AD51" s="835">
        <v>0</v>
      </c>
      <c r="AE51" s="882">
        <f>AC51+AD51</f>
        <v>0</v>
      </c>
      <c r="AF51" s="844"/>
      <c r="AG51" s="838">
        <f>Crew19!$B$11*Crew19!$N$9</f>
        <v>106.0416253198395</v>
      </c>
      <c r="AH51" s="839">
        <f>Crew19!$B$11*Crew19!$N$9*(Crew19!$B$14-1)</f>
        <v>43.784587094561736</v>
      </c>
      <c r="AI51" s="883">
        <f>AG51+AH51</f>
        <v>149.82621241440123</v>
      </c>
      <c r="AJ51" s="844"/>
      <c r="AK51" s="841">
        <v>0</v>
      </c>
      <c r="AL51" s="825">
        <v>0</v>
      </c>
      <c r="AM51" s="884">
        <v>0</v>
      </c>
    </row>
    <row r="52" spans="1:39" ht="4" customHeight="1">
      <c r="A52" s="820"/>
      <c r="B52" s="808"/>
      <c r="C52" s="885"/>
      <c r="D52" s="885"/>
      <c r="E52" s="885"/>
      <c r="F52" s="885"/>
      <c r="G52" s="885"/>
      <c r="H52" s="885"/>
      <c r="I52" s="885"/>
      <c r="J52" s="885"/>
      <c r="K52" s="974"/>
      <c r="L52" s="1031"/>
      <c r="M52" s="980"/>
      <c r="N52" s="987"/>
      <c r="O52" s="995"/>
      <c r="P52" s="1003"/>
      <c r="Q52" s="1011"/>
      <c r="R52" s="937"/>
      <c r="S52" s="885"/>
      <c r="T52" s="885"/>
      <c r="U52" s="885"/>
      <c r="V52" s="885"/>
      <c r="W52" s="885"/>
      <c r="X52" s="885"/>
      <c r="Y52" s="885"/>
      <c r="Z52" s="885"/>
      <c r="AA52" s="885"/>
      <c r="AB52" s="885"/>
      <c r="AC52" s="885"/>
      <c r="AD52" s="885"/>
      <c r="AE52" s="885"/>
      <c r="AF52" s="885"/>
      <c r="AG52" s="885"/>
      <c r="AH52" s="885"/>
      <c r="AI52" s="885"/>
      <c r="AJ52" s="885"/>
      <c r="AK52" s="885"/>
      <c r="AL52" s="885"/>
      <c r="AM52" s="913"/>
    </row>
    <row r="53" spans="1:39">
      <c r="A53" s="864" t="s">
        <v>1764</v>
      </c>
      <c r="B53" s="808"/>
      <c r="C53" s="869">
        <f>Locomotives19!$F$34</f>
        <v>3.1061731211319832</v>
      </c>
      <c r="D53" s="870">
        <f>FreightEquipData!$FB$46</f>
        <v>171.25835210915346</v>
      </c>
      <c r="E53" s="870">
        <f>FreightEquipData!$FC$46</f>
        <v>5537.3533848626294</v>
      </c>
      <c r="F53" s="870">
        <f>FreightEquipData!$FD$46</f>
        <v>18135.268929079572</v>
      </c>
      <c r="G53" s="870">
        <f>F53/H53</f>
        <v>105.89421599432914</v>
      </c>
      <c r="H53" s="870">
        <f>FreightEquipData!FE46</f>
        <v>171.25835210915346</v>
      </c>
      <c r="I53" s="871">
        <v>0</v>
      </c>
      <c r="J53" s="802"/>
      <c r="K53" s="970">
        <f>SUM(M53:Q53)</f>
        <v>1288.4229420182373</v>
      </c>
      <c r="L53" s="1027">
        <f>K53-Q53</f>
        <v>780.87930238779893</v>
      </c>
      <c r="M53" s="1016">
        <f>W53</f>
        <v>210.49791667292376</v>
      </c>
      <c r="N53" s="983">
        <f>AA53</f>
        <v>420.55517330047405</v>
      </c>
      <c r="O53" s="991">
        <f>AE53</f>
        <v>0</v>
      </c>
      <c r="P53" s="999">
        <f>AI53</f>
        <v>149.82621241440123</v>
      </c>
      <c r="Q53" s="1007">
        <f>AM53</f>
        <v>507.54363963043841</v>
      </c>
      <c r="R53" s="936"/>
      <c r="S53" s="826">
        <f>Locomotives19!$B$17*C53</f>
        <v>137.84493347907767</v>
      </c>
      <c r="T53" s="826">
        <f>(Locomotives19!$B$50/24)*C53</f>
        <v>44.9929454684505</v>
      </c>
      <c r="U53" s="826">
        <f>Locomotives19!$B$46*C53</f>
        <v>27.660037725395604</v>
      </c>
      <c r="V53" s="826">
        <v>0</v>
      </c>
      <c r="W53" s="872">
        <f>SUM(S53:V53)</f>
        <v>210.49791667292376</v>
      </c>
      <c r="X53" s="844"/>
      <c r="Y53" s="828">
        <f>D53*FrtEquip19!$B$16</f>
        <v>193.93754446080021</v>
      </c>
      <c r="Z53" s="829">
        <f>D53*FrtEquip19!$B$51</f>
        <v>226.61762883967384</v>
      </c>
      <c r="AA53" s="873">
        <f>Y53+Z53</f>
        <v>420.55517330047405</v>
      </c>
      <c r="AB53" s="844"/>
      <c r="AC53" s="832">
        <v>0</v>
      </c>
      <c r="AD53" s="833">
        <v>0</v>
      </c>
      <c r="AE53" s="874">
        <f>AC53+AD53</f>
        <v>0</v>
      </c>
      <c r="AF53" s="844"/>
      <c r="AG53" s="836">
        <f>Crew19!$B$11*Crew19!$N$9</f>
        <v>106.0416253198395</v>
      </c>
      <c r="AH53" s="837">
        <f>Crew19!$B$11*Crew19!$N$9*(Crew19!$B$14-1)</f>
        <v>43.784587094561736</v>
      </c>
      <c r="AI53" s="875">
        <f>AG53+AH53</f>
        <v>149.82621241440123</v>
      </c>
      <c r="AJ53" s="844"/>
      <c r="AK53" s="840">
        <f>AM53/F53</f>
        <v>2.7986551598173516E-2</v>
      </c>
      <c r="AL53" s="824">
        <f>AM53/H53</f>
        <v>2.963613939873424</v>
      </c>
      <c r="AM53" s="909">
        <f>FreightEquipData!FF46</f>
        <v>507.54363963043841</v>
      </c>
    </row>
    <row r="54" spans="1:39">
      <c r="A54" s="866" t="s">
        <v>1765</v>
      </c>
      <c r="B54" s="808"/>
      <c r="C54" s="887">
        <f>Locomotives19!$F$34</f>
        <v>3.1061731211319832</v>
      </c>
      <c r="D54" s="888">
        <f>FreightEquipData!$FB$46</f>
        <v>171.25835210915346</v>
      </c>
      <c r="E54" s="888">
        <f>FreightEquipData!$FC$46</f>
        <v>5537.3533848626294</v>
      </c>
      <c r="F54" s="888">
        <f>FreightEquipData!$FD$46</f>
        <v>18135.268929079572</v>
      </c>
      <c r="G54" s="888">
        <f>F54/H54</f>
        <v>105.89421599432914</v>
      </c>
      <c r="H54" s="888">
        <f>FreightEquipData!FE46</f>
        <v>171.25835210915346</v>
      </c>
      <c r="I54" s="889">
        <v>0</v>
      </c>
      <c r="J54" s="802"/>
      <c r="K54" s="973">
        <f>SUM(M54:Q54)</f>
        <v>1503.7044441477456</v>
      </c>
      <c r="L54" s="1030">
        <f>K54-Q54</f>
        <v>996.16080451730716</v>
      </c>
      <c r="M54" s="1018">
        <f>W54</f>
        <v>425.77941880243179</v>
      </c>
      <c r="N54" s="986">
        <f>AA54</f>
        <v>420.55517330047405</v>
      </c>
      <c r="O54" s="994">
        <f>AE54</f>
        <v>0</v>
      </c>
      <c r="P54" s="1002">
        <f>AI54</f>
        <v>149.82621241440123</v>
      </c>
      <c r="Q54" s="1010">
        <f>AM54</f>
        <v>507.54363963043841</v>
      </c>
      <c r="R54" s="936"/>
      <c r="S54" s="851">
        <f>Locomotives19!$B$17*C54</f>
        <v>137.84493347907767</v>
      </c>
      <c r="T54" s="851">
        <f>(Locomotives19!$B$50/24)*C54</f>
        <v>44.9929454684505</v>
      </c>
      <c r="U54" s="851">
        <v>0</v>
      </c>
      <c r="V54" s="851">
        <f>C54*Locomotives19!$K$44</f>
        <v>242.94153985490362</v>
      </c>
      <c r="W54" s="890">
        <f>SUM(S54:V54)</f>
        <v>425.77941880243179</v>
      </c>
      <c r="X54" s="844"/>
      <c r="Y54" s="849">
        <f>D54*FrtEquip19!$B$16</f>
        <v>193.93754446080021</v>
      </c>
      <c r="Z54" s="850">
        <f>D54*FrtEquip19!$B$51</f>
        <v>226.61762883967384</v>
      </c>
      <c r="AA54" s="891">
        <f>Y54+Z54</f>
        <v>420.55517330047405</v>
      </c>
      <c r="AB54" s="844"/>
      <c r="AC54" s="847">
        <v>0</v>
      </c>
      <c r="AD54" s="848">
        <v>0</v>
      </c>
      <c r="AE54" s="892">
        <f>AC54+AD54</f>
        <v>0</v>
      </c>
      <c r="AF54" s="844"/>
      <c r="AG54" s="845">
        <f>Crew19!$B$11*Crew19!$N$9</f>
        <v>106.0416253198395</v>
      </c>
      <c r="AH54" s="846">
        <f>Crew19!$B$11*Crew19!$N$9*(Crew19!$B$14-1)</f>
        <v>43.784587094561736</v>
      </c>
      <c r="AI54" s="893">
        <f>AG54+AH54</f>
        <v>149.82621241440123</v>
      </c>
      <c r="AJ54" s="844"/>
      <c r="AK54" s="842">
        <f>AM54/F54</f>
        <v>2.7986551598173516E-2</v>
      </c>
      <c r="AL54" s="843">
        <f>AM54/H54</f>
        <v>2.963613939873424</v>
      </c>
      <c r="AM54" s="914">
        <f>FreightEquipData!FF46</f>
        <v>507.54363963043841</v>
      </c>
    </row>
    <row r="55" spans="1:39">
      <c r="A55" s="866" t="s">
        <v>1766</v>
      </c>
      <c r="B55" s="808"/>
      <c r="C55" s="887">
        <f>Locomotives19!$F$34</f>
        <v>3.1061731211319832</v>
      </c>
      <c r="D55" s="888">
        <f>FreightEquipData!$FB$46</f>
        <v>171.25835210915346</v>
      </c>
      <c r="E55" s="888">
        <f>FreightEquipData!$FC$46</f>
        <v>5537.3533848626294</v>
      </c>
      <c r="F55" s="888">
        <v>0</v>
      </c>
      <c r="G55" s="888">
        <v>0</v>
      </c>
      <c r="H55" s="888">
        <v>0</v>
      </c>
      <c r="I55" s="889">
        <v>0</v>
      </c>
      <c r="J55" s="802"/>
      <c r="K55" s="973">
        <f>SUM(M55:Q55)</f>
        <v>780.87930238779904</v>
      </c>
      <c r="L55" s="1030">
        <f>K55-Q55</f>
        <v>780.87930238779904</v>
      </c>
      <c r="M55" s="1018">
        <f>W55</f>
        <v>210.49791667292376</v>
      </c>
      <c r="N55" s="986">
        <f>AA55</f>
        <v>420.55517330047405</v>
      </c>
      <c r="O55" s="994">
        <f>AE55</f>
        <v>0</v>
      </c>
      <c r="P55" s="1002">
        <f>AI55</f>
        <v>149.82621241440123</v>
      </c>
      <c r="Q55" s="1010">
        <f>AM55</f>
        <v>0</v>
      </c>
      <c r="R55" s="936"/>
      <c r="S55" s="851">
        <f>Locomotives19!$B$17*C55</f>
        <v>137.84493347907767</v>
      </c>
      <c r="T55" s="851">
        <f>(Locomotives19!$B$50/24)*C55</f>
        <v>44.9929454684505</v>
      </c>
      <c r="U55" s="851">
        <f>Locomotives19!$B$46*C55</f>
        <v>27.660037725395604</v>
      </c>
      <c r="V55" s="851">
        <v>0</v>
      </c>
      <c r="W55" s="890">
        <f>SUM(S55:V55)</f>
        <v>210.49791667292376</v>
      </c>
      <c r="X55" s="844"/>
      <c r="Y55" s="849">
        <f>D55*FrtEquip19!$B$16</f>
        <v>193.93754446080021</v>
      </c>
      <c r="Z55" s="850">
        <f>D55*FrtEquip19!$B$51</f>
        <v>226.61762883967384</v>
      </c>
      <c r="AA55" s="891">
        <f>Y55+Z55</f>
        <v>420.55517330047405</v>
      </c>
      <c r="AB55" s="844"/>
      <c r="AC55" s="847">
        <v>0</v>
      </c>
      <c r="AD55" s="848">
        <v>0</v>
      </c>
      <c r="AE55" s="892">
        <f>AC55+AD55</f>
        <v>0</v>
      </c>
      <c r="AF55" s="844"/>
      <c r="AG55" s="845">
        <f>Crew19!$B$11*Crew19!$N$9</f>
        <v>106.0416253198395</v>
      </c>
      <c r="AH55" s="846">
        <f>Crew19!$B$11*Crew19!$N$9*(Crew19!$B$14-1)</f>
        <v>43.784587094561736</v>
      </c>
      <c r="AI55" s="893">
        <f>AG55+AH55</f>
        <v>149.82621241440123</v>
      </c>
      <c r="AJ55" s="844"/>
      <c r="AK55" s="842">
        <v>0</v>
      </c>
      <c r="AL55" s="843">
        <v>0</v>
      </c>
      <c r="AM55" s="894">
        <v>0</v>
      </c>
    </row>
    <row r="56" spans="1:39">
      <c r="A56" s="865" t="s">
        <v>1767</v>
      </c>
      <c r="B56" s="808"/>
      <c r="C56" s="877">
        <f>Locomotives19!$F$34</f>
        <v>3.1061731211319832</v>
      </c>
      <c r="D56" s="878">
        <f>FreightEquipData!$FB$46</f>
        <v>171.25835210915346</v>
      </c>
      <c r="E56" s="878">
        <f>FreightEquipData!$FC$46</f>
        <v>5537.3533848626294</v>
      </c>
      <c r="F56" s="878">
        <v>0</v>
      </c>
      <c r="G56" s="878">
        <v>0</v>
      </c>
      <c r="H56" s="878">
        <v>0</v>
      </c>
      <c r="I56" s="879">
        <v>0</v>
      </c>
      <c r="J56" s="802"/>
      <c r="K56" s="971">
        <f>SUM(M56:Q56)</f>
        <v>996.16080451730704</v>
      </c>
      <c r="L56" s="1028">
        <f>K56-Q56</f>
        <v>996.16080451730704</v>
      </c>
      <c r="M56" s="1017">
        <f>W56</f>
        <v>425.77941880243179</v>
      </c>
      <c r="N56" s="984">
        <f>AA56</f>
        <v>420.55517330047405</v>
      </c>
      <c r="O56" s="992">
        <f>AE56</f>
        <v>0</v>
      </c>
      <c r="P56" s="1000">
        <f>AI56</f>
        <v>149.82621241440123</v>
      </c>
      <c r="Q56" s="1008">
        <f>AM56</f>
        <v>0</v>
      </c>
      <c r="R56" s="936"/>
      <c r="S56" s="827">
        <f>Locomotives19!$B$17*C56</f>
        <v>137.84493347907767</v>
      </c>
      <c r="T56" s="827">
        <f>(Locomotives19!$B$50/24)*C56</f>
        <v>44.9929454684505</v>
      </c>
      <c r="U56" s="827">
        <v>0</v>
      </c>
      <c r="V56" s="827">
        <f>C56*Locomotives19!$K$44</f>
        <v>242.94153985490362</v>
      </c>
      <c r="W56" s="880">
        <f>SUM(S56:V56)</f>
        <v>425.77941880243179</v>
      </c>
      <c r="X56" s="844"/>
      <c r="Y56" s="830">
        <f>D56*FrtEquip19!$B$16</f>
        <v>193.93754446080021</v>
      </c>
      <c r="Z56" s="831">
        <f>D56*FrtEquip19!$B$51</f>
        <v>226.61762883967384</v>
      </c>
      <c r="AA56" s="881">
        <f>Y56+Z56</f>
        <v>420.55517330047405</v>
      </c>
      <c r="AB56" s="844"/>
      <c r="AC56" s="834">
        <v>0</v>
      </c>
      <c r="AD56" s="835">
        <v>0</v>
      </c>
      <c r="AE56" s="882">
        <f>AC56+AD56</f>
        <v>0</v>
      </c>
      <c r="AF56" s="844"/>
      <c r="AG56" s="838">
        <f>Crew19!$B$11*Crew19!$N$9</f>
        <v>106.0416253198395</v>
      </c>
      <c r="AH56" s="839">
        <f>Crew19!$B$11*Crew19!$N$9*(Crew19!$B$14-1)</f>
        <v>43.784587094561736</v>
      </c>
      <c r="AI56" s="883">
        <f>AG56+AH56</f>
        <v>149.82621241440123</v>
      </c>
      <c r="AJ56" s="844"/>
      <c r="AK56" s="841">
        <v>0</v>
      </c>
      <c r="AL56" s="825">
        <v>0</v>
      </c>
      <c r="AM56" s="884">
        <v>0</v>
      </c>
    </row>
    <row r="57" spans="1:39" ht="4" customHeight="1">
      <c r="A57" s="820"/>
      <c r="B57" s="808"/>
      <c r="C57" s="808"/>
      <c r="D57" s="885"/>
      <c r="E57" s="885"/>
      <c r="F57" s="885"/>
      <c r="G57" s="885"/>
      <c r="H57" s="885"/>
      <c r="I57" s="885"/>
      <c r="J57" s="885"/>
      <c r="K57" s="974"/>
      <c r="L57" s="1031"/>
      <c r="M57" s="980"/>
      <c r="N57" s="987"/>
      <c r="O57" s="995"/>
      <c r="P57" s="1003"/>
      <c r="Q57" s="1011"/>
      <c r="R57" s="937"/>
      <c r="S57" s="885"/>
      <c r="T57" s="885"/>
      <c r="U57" s="885"/>
      <c r="V57" s="885"/>
      <c r="W57" s="885"/>
      <c r="X57" s="885"/>
      <c r="Y57" s="885"/>
      <c r="Z57" s="885"/>
      <c r="AA57" s="885"/>
      <c r="AB57" s="885"/>
      <c r="AC57" s="885"/>
      <c r="AD57" s="885"/>
      <c r="AE57" s="885"/>
      <c r="AF57" s="885"/>
      <c r="AG57" s="885"/>
      <c r="AH57" s="885"/>
      <c r="AI57" s="885"/>
      <c r="AJ57" s="885"/>
      <c r="AK57" s="885"/>
      <c r="AL57" s="885"/>
      <c r="AM57" s="913"/>
    </row>
    <row r="58" spans="1:39">
      <c r="A58" s="864" t="s">
        <v>1772</v>
      </c>
      <c r="B58" s="808"/>
      <c r="C58" s="869">
        <f>Locomotives19!$F$34</f>
        <v>3.1061731211319832</v>
      </c>
      <c r="D58" s="870">
        <f>FreightEquipData!$FB$43</f>
        <v>105.16240797025155</v>
      </c>
      <c r="E58" s="870">
        <f>FreightEquipData!$FC$43</f>
        <v>6300.980944217572</v>
      </c>
      <c r="F58" s="870">
        <f>FreightEquipData!$FD$43</f>
        <v>10301.468557293718</v>
      </c>
      <c r="G58" s="870">
        <f>F58/H58</f>
        <v>97.957708996239489</v>
      </c>
      <c r="H58" s="870">
        <f>FreightEquipData!$FE$43</f>
        <v>105.16240797025155</v>
      </c>
      <c r="I58" s="871">
        <v>0</v>
      </c>
      <c r="J58" s="802"/>
      <c r="K58" s="970">
        <f>SUM(M58:Q58)</f>
        <v>1115.6921356613361</v>
      </c>
      <c r="L58" s="1027">
        <f>K58-Q58</f>
        <v>618.56902146160144</v>
      </c>
      <c r="M58" s="1016">
        <f>W58</f>
        <v>210.49791667292376</v>
      </c>
      <c r="N58" s="983">
        <f>AA58</f>
        <v>258.24489237427656</v>
      </c>
      <c r="O58" s="991">
        <f>AE58</f>
        <v>0</v>
      </c>
      <c r="P58" s="999">
        <f>AI58</f>
        <v>149.82621241440123</v>
      </c>
      <c r="Q58" s="1007">
        <f>AM58</f>
        <v>497.12311419973469</v>
      </c>
      <c r="R58" s="936"/>
      <c r="S58" s="826">
        <f>Locomotives19!$B$17*C58</f>
        <v>137.84493347907767</v>
      </c>
      <c r="T58" s="826">
        <f>(Locomotives19!$B$50/24)*C58</f>
        <v>44.9929454684505</v>
      </c>
      <c r="U58" s="826">
        <f>Locomotives19!$B$46*C58</f>
        <v>27.660037725395604</v>
      </c>
      <c r="V58" s="826">
        <v>0</v>
      </c>
      <c r="W58" s="872">
        <f>SUM(S58:V58)</f>
        <v>210.49791667292376</v>
      </c>
      <c r="X58" s="844"/>
      <c r="Y58" s="828">
        <f>D58*FrtEquip19!$B$16</f>
        <v>119.08872717831902</v>
      </c>
      <c r="Z58" s="829">
        <f>D58*FrtEquip19!$B$51</f>
        <v>139.15616519595756</v>
      </c>
      <c r="AA58" s="873">
        <f>Y58+Z58</f>
        <v>258.24489237427656</v>
      </c>
      <c r="AB58" s="844"/>
      <c r="AC58" s="832">
        <v>0</v>
      </c>
      <c r="AD58" s="833">
        <v>0</v>
      </c>
      <c r="AE58" s="874">
        <f>AC58+AD58</f>
        <v>0</v>
      </c>
      <c r="AF58" s="844"/>
      <c r="AG58" s="836">
        <f>Crew19!$B$11*Crew19!$N$9</f>
        <v>106.0416253198395</v>
      </c>
      <c r="AH58" s="837">
        <f>Crew19!$B$11*Crew19!$N$9*(Crew19!$B$14-1)</f>
        <v>43.784587094561736</v>
      </c>
      <c r="AI58" s="875">
        <f>AG58+AH58</f>
        <v>149.82621241440123</v>
      </c>
      <c r="AJ58" s="844"/>
      <c r="AK58" s="840">
        <f>AM58/F58</f>
        <v>4.8257499543378997E-2</v>
      </c>
      <c r="AL58" s="824">
        <f>AM58/H58</f>
        <v>4.7271940971564801</v>
      </c>
      <c r="AM58" s="909">
        <f>FreightEquipData!$FF$43</f>
        <v>497.12311419973469</v>
      </c>
    </row>
    <row r="59" spans="1:39">
      <c r="A59" s="866" t="s">
        <v>1773</v>
      </c>
      <c r="B59" s="808"/>
      <c r="C59" s="887">
        <f>Locomotives19!$F$34</f>
        <v>3.1061731211319832</v>
      </c>
      <c r="D59" s="888">
        <f>FreightEquipData!$FB$43</f>
        <v>105.16240797025155</v>
      </c>
      <c r="E59" s="888">
        <f>FreightEquipData!$FC$43</f>
        <v>6300.980944217572</v>
      </c>
      <c r="F59" s="888">
        <f>FreightEquipData!$FD$43</f>
        <v>10301.468557293718</v>
      </c>
      <c r="G59" s="888">
        <f>F59/H59</f>
        <v>97.957708996239489</v>
      </c>
      <c r="H59" s="888">
        <f>FreightEquipData!$FE$43</f>
        <v>105.16240797025155</v>
      </c>
      <c r="I59" s="889">
        <v>0</v>
      </c>
      <c r="J59" s="802"/>
      <c r="K59" s="973">
        <f>SUM(M59:Q59)</f>
        <v>1330.9736377908444</v>
      </c>
      <c r="L59" s="1030">
        <f>K59-Q59</f>
        <v>833.85052359110966</v>
      </c>
      <c r="M59" s="1018">
        <f>W59</f>
        <v>425.77941880243179</v>
      </c>
      <c r="N59" s="986">
        <f>AA59</f>
        <v>258.24489237427656</v>
      </c>
      <c r="O59" s="994">
        <f>AE59</f>
        <v>0</v>
      </c>
      <c r="P59" s="1002">
        <f>AI59</f>
        <v>149.82621241440123</v>
      </c>
      <c r="Q59" s="1010">
        <f>AM59</f>
        <v>497.12311419973469</v>
      </c>
      <c r="R59" s="936"/>
      <c r="S59" s="851">
        <f>Locomotives19!$B$17*C59</f>
        <v>137.84493347907767</v>
      </c>
      <c r="T59" s="851">
        <f>(Locomotives19!$B$50/24)*C59</f>
        <v>44.9929454684505</v>
      </c>
      <c r="U59" s="851">
        <v>0</v>
      </c>
      <c r="V59" s="851">
        <f>C59*Locomotives19!$K$44</f>
        <v>242.94153985490362</v>
      </c>
      <c r="W59" s="890">
        <f>SUM(S59:V59)</f>
        <v>425.77941880243179</v>
      </c>
      <c r="X59" s="844"/>
      <c r="Y59" s="849">
        <f>D59*FrtEquip19!$B$16</f>
        <v>119.08872717831902</v>
      </c>
      <c r="Z59" s="850">
        <f>D59*FrtEquip19!$B$51</f>
        <v>139.15616519595756</v>
      </c>
      <c r="AA59" s="891">
        <f>Y59+Z59</f>
        <v>258.24489237427656</v>
      </c>
      <c r="AB59" s="844"/>
      <c r="AC59" s="847">
        <v>0</v>
      </c>
      <c r="AD59" s="848">
        <v>0</v>
      </c>
      <c r="AE59" s="892">
        <f>AC59+AD59</f>
        <v>0</v>
      </c>
      <c r="AF59" s="844"/>
      <c r="AG59" s="845">
        <f>Crew19!$B$11*Crew19!$N$9</f>
        <v>106.0416253198395</v>
      </c>
      <c r="AH59" s="846">
        <f>Crew19!$B$11*Crew19!$N$9*(Crew19!$B$14-1)</f>
        <v>43.784587094561736</v>
      </c>
      <c r="AI59" s="893">
        <f>AG59+AH59</f>
        <v>149.82621241440123</v>
      </c>
      <c r="AJ59" s="844"/>
      <c r="AK59" s="842">
        <f>AM59/F59</f>
        <v>4.8257499543378997E-2</v>
      </c>
      <c r="AL59" s="843">
        <f>AM59/H59</f>
        <v>4.7271940971564801</v>
      </c>
      <c r="AM59" s="914">
        <f>FreightEquipData!$FF$43</f>
        <v>497.12311419973469</v>
      </c>
    </row>
    <row r="60" spans="1:39">
      <c r="A60" s="866" t="s">
        <v>1774</v>
      </c>
      <c r="B60" s="808"/>
      <c r="C60" s="887">
        <f>Locomotives19!$F$34</f>
        <v>3.1061731211319832</v>
      </c>
      <c r="D60" s="888">
        <f>FreightEquipData!$FB$43</f>
        <v>105.16240797025155</v>
      </c>
      <c r="E60" s="888">
        <f>FreightEquipData!$FC$43</f>
        <v>6300.980944217572</v>
      </c>
      <c r="F60" s="888">
        <v>0</v>
      </c>
      <c r="G60" s="888">
        <v>0</v>
      </c>
      <c r="H60" s="888">
        <v>0</v>
      </c>
      <c r="I60" s="889">
        <v>0</v>
      </c>
      <c r="J60" s="802"/>
      <c r="K60" s="973">
        <f>SUM(M60:Q60)</f>
        <v>618.56902146160155</v>
      </c>
      <c r="L60" s="1030">
        <f>K60-Q60</f>
        <v>618.56902146160155</v>
      </c>
      <c r="M60" s="1018">
        <f>W60</f>
        <v>210.49791667292376</v>
      </c>
      <c r="N60" s="986">
        <f>AA60</f>
        <v>258.24489237427656</v>
      </c>
      <c r="O60" s="994">
        <f>AE60</f>
        <v>0</v>
      </c>
      <c r="P60" s="1002">
        <f>AI60</f>
        <v>149.82621241440123</v>
      </c>
      <c r="Q60" s="1010">
        <f>AM60</f>
        <v>0</v>
      </c>
      <c r="R60" s="936"/>
      <c r="S60" s="851">
        <f>Locomotives19!$B$17*C60</f>
        <v>137.84493347907767</v>
      </c>
      <c r="T60" s="851">
        <f>(Locomotives19!$B$50/24)*C60</f>
        <v>44.9929454684505</v>
      </c>
      <c r="U60" s="851">
        <f>Locomotives19!$B$46*C60</f>
        <v>27.660037725395604</v>
      </c>
      <c r="V60" s="851">
        <v>0</v>
      </c>
      <c r="W60" s="890">
        <f>SUM(S60:V60)</f>
        <v>210.49791667292376</v>
      </c>
      <c r="X60" s="844"/>
      <c r="Y60" s="849">
        <f>D60*FrtEquip19!$B$16</f>
        <v>119.08872717831902</v>
      </c>
      <c r="Z60" s="850">
        <f>D60*FrtEquip19!$B$51</f>
        <v>139.15616519595756</v>
      </c>
      <c r="AA60" s="891">
        <f>Y60+Z60</f>
        <v>258.24489237427656</v>
      </c>
      <c r="AB60" s="844"/>
      <c r="AC60" s="847">
        <v>0</v>
      </c>
      <c r="AD60" s="848">
        <v>0</v>
      </c>
      <c r="AE60" s="892">
        <f>AC60+AD60</f>
        <v>0</v>
      </c>
      <c r="AF60" s="844"/>
      <c r="AG60" s="845">
        <f>Crew19!$B$11*Crew19!$N$9</f>
        <v>106.0416253198395</v>
      </c>
      <c r="AH60" s="846">
        <f>Crew19!$B$11*Crew19!$N$9*(Crew19!$B$14-1)</f>
        <v>43.784587094561736</v>
      </c>
      <c r="AI60" s="893">
        <f>AG60+AH60</f>
        <v>149.82621241440123</v>
      </c>
      <c r="AJ60" s="844"/>
      <c r="AK60" s="842">
        <v>0</v>
      </c>
      <c r="AL60" s="843">
        <v>0</v>
      </c>
      <c r="AM60" s="894">
        <v>0</v>
      </c>
    </row>
    <row r="61" spans="1:39">
      <c r="A61" s="865" t="s">
        <v>1775</v>
      </c>
      <c r="B61" s="808"/>
      <c r="C61" s="877">
        <f>Locomotives19!$F$34</f>
        <v>3.1061731211319832</v>
      </c>
      <c r="D61" s="878">
        <f>FreightEquipData!$FB$43</f>
        <v>105.16240797025155</v>
      </c>
      <c r="E61" s="878">
        <f>FreightEquipData!$FC$43</f>
        <v>6300.980944217572</v>
      </c>
      <c r="F61" s="878">
        <v>0</v>
      </c>
      <c r="G61" s="878">
        <v>0</v>
      </c>
      <c r="H61" s="878">
        <v>0</v>
      </c>
      <c r="I61" s="879">
        <v>0</v>
      </c>
      <c r="J61" s="802"/>
      <c r="K61" s="971">
        <f>SUM(M61:Q61)</f>
        <v>833.85052359110955</v>
      </c>
      <c r="L61" s="1028">
        <f>K61-Q61</f>
        <v>833.85052359110955</v>
      </c>
      <c r="M61" s="1017">
        <f>W61</f>
        <v>425.77941880243179</v>
      </c>
      <c r="N61" s="984">
        <f>AA61</f>
        <v>258.24489237427656</v>
      </c>
      <c r="O61" s="992">
        <f>AE61</f>
        <v>0</v>
      </c>
      <c r="P61" s="1000">
        <f>AI61</f>
        <v>149.82621241440123</v>
      </c>
      <c r="Q61" s="1008">
        <f>AM61</f>
        <v>0</v>
      </c>
      <c r="R61" s="936"/>
      <c r="S61" s="827">
        <f>Locomotives19!$B$17*C61</f>
        <v>137.84493347907767</v>
      </c>
      <c r="T61" s="827">
        <f>(Locomotives19!$B$50/24)*C61</f>
        <v>44.9929454684505</v>
      </c>
      <c r="U61" s="827">
        <v>0</v>
      </c>
      <c r="V61" s="827">
        <f>C61*Locomotives19!$K$44</f>
        <v>242.94153985490362</v>
      </c>
      <c r="W61" s="880">
        <f>SUM(S61:V61)</f>
        <v>425.77941880243179</v>
      </c>
      <c r="X61" s="844"/>
      <c r="Y61" s="830">
        <f>D61*FrtEquip19!$B$16</f>
        <v>119.08872717831902</v>
      </c>
      <c r="Z61" s="831">
        <f>D61*FrtEquip19!$B$51</f>
        <v>139.15616519595756</v>
      </c>
      <c r="AA61" s="881">
        <f>Y61+Z61</f>
        <v>258.24489237427656</v>
      </c>
      <c r="AB61" s="844"/>
      <c r="AC61" s="834">
        <v>0</v>
      </c>
      <c r="AD61" s="835">
        <v>0</v>
      </c>
      <c r="AE61" s="882">
        <f>AC61+AD61</f>
        <v>0</v>
      </c>
      <c r="AF61" s="844"/>
      <c r="AG61" s="838">
        <f>Crew19!$B$11*Crew19!$N$9</f>
        <v>106.0416253198395</v>
      </c>
      <c r="AH61" s="839">
        <f>Crew19!$B$11*Crew19!$N$9*(Crew19!$B$14-1)</f>
        <v>43.784587094561736</v>
      </c>
      <c r="AI61" s="883">
        <f>AG61+AH61</f>
        <v>149.82621241440123</v>
      </c>
      <c r="AJ61" s="844"/>
      <c r="AK61" s="841">
        <v>0</v>
      </c>
      <c r="AL61" s="825">
        <v>0</v>
      </c>
      <c r="AM61" s="884">
        <v>0</v>
      </c>
    </row>
    <row r="62" spans="1:39" ht="4" customHeight="1">
      <c r="A62" s="820"/>
      <c r="B62" s="808"/>
      <c r="C62" s="808"/>
      <c r="D62" s="885"/>
      <c r="E62" s="885"/>
      <c r="F62" s="885"/>
      <c r="G62" s="885"/>
      <c r="H62" s="885"/>
      <c r="I62" s="885"/>
      <c r="J62" s="885"/>
      <c r="K62" s="974"/>
      <c r="L62" s="1031"/>
      <c r="M62" s="980"/>
      <c r="N62" s="987"/>
      <c r="O62" s="995"/>
      <c r="P62" s="1003"/>
      <c r="Q62" s="1011"/>
      <c r="R62" s="937"/>
      <c r="S62" s="885"/>
      <c r="T62" s="885"/>
      <c r="U62" s="885"/>
      <c r="V62" s="885"/>
      <c r="W62" s="885"/>
      <c r="X62" s="885"/>
      <c r="Y62" s="885"/>
      <c r="Z62" s="885"/>
      <c r="AA62" s="885"/>
      <c r="AB62" s="885"/>
      <c r="AC62" s="885"/>
      <c r="AD62" s="885"/>
      <c r="AE62" s="885"/>
      <c r="AF62" s="885"/>
      <c r="AG62" s="885"/>
      <c r="AH62" s="885"/>
      <c r="AI62" s="885"/>
      <c r="AJ62" s="885"/>
      <c r="AK62" s="885"/>
      <c r="AL62" s="885"/>
      <c r="AM62" s="913"/>
    </row>
    <row r="63" spans="1:39">
      <c r="A63" s="864" t="s">
        <v>1768</v>
      </c>
      <c r="B63" s="808"/>
      <c r="C63" s="869">
        <f>Locomotives19!$F$34</f>
        <v>3.1061731211319832</v>
      </c>
      <c r="D63" s="870">
        <f>FreightEquipData!$FB$49</f>
        <v>106.19630804861076</v>
      </c>
      <c r="E63" s="870">
        <f>FreightEquipData!$FC$49</f>
        <v>6300.980944217572</v>
      </c>
      <c r="F63" s="870">
        <f>FreightEquipData!$FD$49</f>
        <v>9992.7536394720137</v>
      </c>
      <c r="G63" s="870">
        <f>F63/H63</f>
        <v>94.096996619674272</v>
      </c>
      <c r="H63" s="870">
        <f>FreightEquipData!$FE$49</f>
        <v>106.19630804861076</v>
      </c>
      <c r="I63" s="871">
        <v>0</v>
      </c>
      <c r="J63" s="802"/>
      <c r="K63" s="970">
        <f>SUM(M63:Q63)</f>
        <v>1293.1709524571665</v>
      </c>
      <c r="L63" s="1027">
        <f>K63-Q63</f>
        <v>621.10794596528103</v>
      </c>
      <c r="M63" s="1016">
        <f>W63</f>
        <v>210.49791667292376</v>
      </c>
      <c r="N63" s="983">
        <f>AA63</f>
        <v>260.78381687795621</v>
      </c>
      <c r="O63" s="991">
        <f>AE63</f>
        <v>0</v>
      </c>
      <c r="P63" s="999">
        <f>AI63</f>
        <v>149.82621241440123</v>
      </c>
      <c r="Q63" s="1007">
        <f>AM63</f>
        <v>672.06300649188552</v>
      </c>
      <c r="R63" s="936"/>
      <c r="S63" s="826">
        <f>Locomotives19!$B$17*C63</f>
        <v>137.84493347907767</v>
      </c>
      <c r="T63" s="826">
        <f>(Locomotives19!$B$50/24)*C63</f>
        <v>44.9929454684505</v>
      </c>
      <c r="U63" s="826">
        <f>Locomotives19!$B$46*C63</f>
        <v>27.660037725395604</v>
      </c>
      <c r="V63" s="826">
        <v>0</v>
      </c>
      <c r="W63" s="872">
        <f>SUM(S63:V63)</f>
        <v>210.49791667292376</v>
      </c>
      <c r="X63" s="844"/>
      <c r="Y63" s="828">
        <f>D63*FrtEquip19!$B$16</f>
        <v>120.2595433163081</v>
      </c>
      <c r="Z63" s="829">
        <f>D63*FrtEquip19!$B$51</f>
        <v>140.52427356164813</v>
      </c>
      <c r="AA63" s="873">
        <f>Y63+Z63</f>
        <v>260.78381687795621</v>
      </c>
      <c r="AB63" s="844"/>
      <c r="AC63" s="832">
        <v>0</v>
      </c>
      <c r="AD63" s="833">
        <v>0</v>
      </c>
      <c r="AE63" s="874">
        <f>AC63+AD63</f>
        <v>0</v>
      </c>
      <c r="AF63" s="844"/>
      <c r="AG63" s="836">
        <f>Crew19!$B$11*Crew19!$N$9</f>
        <v>106.0416253198395</v>
      </c>
      <c r="AH63" s="837">
        <f>Crew19!$B$11*Crew19!$N$9*(Crew19!$B$14-1)</f>
        <v>43.784587094561736</v>
      </c>
      <c r="AI63" s="875">
        <f>AG63+AH63</f>
        <v>149.82621241440123</v>
      </c>
      <c r="AJ63" s="844"/>
      <c r="AK63" s="840">
        <f>AM63/F63</f>
        <v>6.7255036073059368E-2</v>
      </c>
      <c r="AL63" s="824">
        <f>AM63/H63</f>
        <v>6.3284969020227377</v>
      </c>
      <c r="AM63" s="909">
        <f>FreightEquipData!$FF$49</f>
        <v>672.06300649188552</v>
      </c>
    </row>
    <row r="64" spans="1:39">
      <c r="A64" s="866" t="s">
        <v>1770</v>
      </c>
      <c r="B64" s="808"/>
      <c r="C64" s="887">
        <f>Locomotives19!$F$34</f>
        <v>3.1061731211319832</v>
      </c>
      <c r="D64" s="888">
        <f>FreightEquipData!$FB$49</f>
        <v>106.19630804861076</v>
      </c>
      <c r="E64" s="888">
        <f>FreightEquipData!$FC$49</f>
        <v>6300.980944217572</v>
      </c>
      <c r="F64" s="888">
        <f>FreightEquipData!$FD$49</f>
        <v>9992.7536394720137</v>
      </c>
      <c r="G64" s="888">
        <f>F64/H64</f>
        <v>94.096996619674272</v>
      </c>
      <c r="H64" s="888">
        <f>FreightEquipData!$FE$49</f>
        <v>106.19630804861076</v>
      </c>
      <c r="I64" s="889">
        <v>0</v>
      </c>
      <c r="J64" s="802"/>
      <c r="K64" s="973">
        <f>SUM(M64:Q64)</f>
        <v>1508.4524545866748</v>
      </c>
      <c r="L64" s="1030">
        <f>K64-Q64</f>
        <v>836.38944809478926</v>
      </c>
      <c r="M64" s="1018">
        <f>W64</f>
        <v>425.77941880243179</v>
      </c>
      <c r="N64" s="986">
        <f>AA64</f>
        <v>260.78381687795621</v>
      </c>
      <c r="O64" s="994">
        <f>AE64</f>
        <v>0</v>
      </c>
      <c r="P64" s="1002">
        <f>AI64</f>
        <v>149.82621241440123</v>
      </c>
      <c r="Q64" s="1010">
        <f>AM64</f>
        <v>672.06300649188552</v>
      </c>
      <c r="R64" s="936"/>
      <c r="S64" s="851">
        <f>Locomotives19!$B$17*C64</f>
        <v>137.84493347907767</v>
      </c>
      <c r="T64" s="851">
        <f>(Locomotives19!$B$50/24)*C64</f>
        <v>44.9929454684505</v>
      </c>
      <c r="U64" s="851">
        <v>0</v>
      </c>
      <c r="V64" s="851">
        <f>C64*Locomotives19!$K$44</f>
        <v>242.94153985490362</v>
      </c>
      <c r="W64" s="890">
        <f>SUM(S64:V64)</f>
        <v>425.77941880243179</v>
      </c>
      <c r="X64" s="844"/>
      <c r="Y64" s="849">
        <f>D64*FrtEquip19!$B$16</f>
        <v>120.2595433163081</v>
      </c>
      <c r="Z64" s="850">
        <f>D64*FrtEquip19!$B$51</f>
        <v>140.52427356164813</v>
      </c>
      <c r="AA64" s="891">
        <f>Y64+Z64</f>
        <v>260.78381687795621</v>
      </c>
      <c r="AB64" s="844"/>
      <c r="AC64" s="847">
        <v>0</v>
      </c>
      <c r="AD64" s="848">
        <v>0</v>
      </c>
      <c r="AE64" s="892">
        <f>AC64+AD64</f>
        <v>0</v>
      </c>
      <c r="AF64" s="844"/>
      <c r="AG64" s="845">
        <f>Crew19!$B$11*Crew19!$N$9</f>
        <v>106.0416253198395</v>
      </c>
      <c r="AH64" s="846">
        <f>Crew19!$B$11*Crew19!$N$9*(Crew19!$B$14-1)</f>
        <v>43.784587094561736</v>
      </c>
      <c r="AI64" s="893">
        <f>AG64+AH64</f>
        <v>149.82621241440123</v>
      </c>
      <c r="AJ64" s="844"/>
      <c r="AK64" s="842">
        <f>AM64/F64</f>
        <v>6.7255036073059368E-2</v>
      </c>
      <c r="AL64" s="843">
        <f>AM64/H64</f>
        <v>6.3284969020227377</v>
      </c>
      <c r="AM64" s="914">
        <f>FreightEquipData!$FF$49</f>
        <v>672.06300649188552</v>
      </c>
    </row>
    <row r="65" spans="1:39">
      <c r="A65" s="866" t="s">
        <v>1769</v>
      </c>
      <c r="B65" s="808"/>
      <c r="C65" s="887">
        <f>Locomotives19!$F$34</f>
        <v>3.1061731211319832</v>
      </c>
      <c r="D65" s="888">
        <f>FreightEquipData!$FB$49</f>
        <v>106.19630804861076</v>
      </c>
      <c r="E65" s="888">
        <f>FreightEquipData!$FC$49</f>
        <v>6300.980944217572</v>
      </c>
      <c r="F65" s="888">
        <v>0</v>
      </c>
      <c r="G65" s="888">
        <v>0</v>
      </c>
      <c r="H65" s="888">
        <v>0</v>
      </c>
      <c r="I65" s="889">
        <v>0</v>
      </c>
      <c r="J65" s="802"/>
      <c r="K65" s="973">
        <f>SUM(M65:Q65)</f>
        <v>621.10794596528115</v>
      </c>
      <c r="L65" s="1030">
        <f>K65-Q65</f>
        <v>621.10794596528115</v>
      </c>
      <c r="M65" s="1018">
        <f>W65</f>
        <v>210.49791667292376</v>
      </c>
      <c r="N65" s="986">
        <f>AA65</f>
        <v>260.78381687795621</v>
      </c>
      <c r="O65" s="994">
        <f>AE65</f>
        <v>0</v>
      </c>
      <c r="P65" s="1002">
        <f>AI65</f>
        <v>149.82621241440123</v>
      </c>
      <c r="Q65" s="1010">
        <f>AM65</f>
        <v>0</v>
      </c>
      <c r="R65" s="936"/>
      <c r="S65" s="851">
        <f>Locomotives19!$B$17*C65</f>
        <v>137.84493347907767</v>
      </c>
      <c r="T65" s="851">
        <f>(Locomotives19!$B$50/24)*C65</f>
        <v>44.9929454684505</v>
      </c>
      <c r="U65" s="851">
        <f>Locomotives19!$B$46*C65</f>
        <v>27.660037725395604</v>
      </c>
      <c r="V65" s="851">
        <v>0</v>
      </c>
      <c r="W65" s="890">
        <f>SUM(S65:V65)</f>
        <v>210.49791667292376</v>
      </c>
      <c r="X65" s="844"/>
      <c r="Y65" s="849">
        <f>D65*FrtEquip19!$B$16</f>
        <v>120.2595433163081</v>
      </c>
      <c r="Z65" s="850">
        <f>D65*FrtEquip19!$B$51</f>
        <v>140.52427356164813</v>
      </c>
      <c r="AA65" s="891">
        <f>Y65+Z65</f>
        <v>260.78381687795621</v>
      </c>
      <c r="AB65" s="844"/>
      <c r="AC65" s="847">
        <v>0</v>
      </c>
      <c r="AD65" s="848">
        <v>0</v>
      </c>
      <c r="AE65" s="892">
        <f>AC65+AD65</f>
        <v>0</v>
      </c>
      <c r="AF65" s="844"/>
      <c r="AG65" s="845">
        <f>Crew19!$B$11*Crew19!$N$9</f>
        <v>106.0416253198395</v>
      </c>
      <c r="AH65" s="846">
        <f>Crew19!$B$11*Crew19!$N$9*(Crew19!$B$14-1)</f>
        <v>43.784587094561736</v>
      </c>
      <c r="AI65" s="893">
        <f>AG65+AH65</f>
        <v>149.82621241440123</v>
      </c>
      <c r="AJ65" s="844"/>
      <c r="AK65" s="842">
        <v>0</v>
      </c>
      <c r="AL65" s="843">
        <v>0</v>
      </c>
      <c r="AM65" s="894">
        <v>0</v>
      </c>
    </row>
    <row r="66" spans="1:39">
      <c r="A66" s="865" t="s">
        <v>1771</v>
      </c>
      <c r="B66" s="808"/>
      <c r="C66" s="877">
        <f>Locomotives19!$F$34</f>
        <v>3.1061731211319832</v>
      </c>
      <c r="D66" s="878">
        <f>FreightEquipData!$FB$49</f>
        <v>106.19630804861076</v>
      </c>
      <c r="E66" s="878">
        <f>FreightEquipData!$FC$49</f>
        <v>6300.980944217572</v>
      </c>
      <c r="F66" s="878">
        <v>0</v>
      </c>
      <c r="G66" s="878">
        <v>0</v>
      </c>
      <c r="H66" s="878">
        <v>0</v>
      </c>
      <c r="I66" s="879">
        <v>0</v>
      </c>
      <c r="J66" s="802"/>
      <c r="K66" s="971">
        <f>SUM(M66:Q66)</f>
        <v>836.38944809478926</v>
      </c>
      <c r="L66" s="1028">
        <f>K66-Q66</f>
        <v>836.38944809478926</v>
      </c>
      <c r="M66" s="1017">
        <f>W66</f>
        <v>425.77941880243179</v>
      </c>
      <c r="N66" s="984">
        <f>AA66</f>
        <v>260.78381687795621</v>
      </c>
      <c r="O66" s="992">
        <f>AE66</f>
        <v>0</v>
      </c>
      <c r="P66" s="1000">
        <f>AI66</f>
        <v>149.82621241440123</v>
      </c>
      <c r="Q66" s="1008">
        <f>AM66</f>
        <v>0</v>
      </c>
      <c r="R66" s="936"/>
      <c r="S66" s="827">
        <f>Locomotives19!$B$17*C66</f>
        <v>137.84493347907767</v>
      </c>
      <c r="T66" s="827">
        <f>(Locomotives19!$B$50/24)*C66</f>
        <v>44.9929454684505</v>
      </c>
      <c r="U66" s="827">
        <v>0</v>
      </c>
      <c r="V66" s="827">
        <f>C66*Locomotives19!$K$44</f>
        <v>242.94153985490362</v>
      </c>
      <c r="W66" s="880">
        <f>SUM(S66:V66)</f>
        <v>425.77941880243179</v>
      </c>
      <c r="X66" s="844"/>
      <c r="Y66" s="830">
        <f>D66*FrtEquip19!$B$16</f>
        <v>120.2595433163081</v>
      </c>
      <c r="Z66" s="831">
        <f>D66*FrtEquip19!$B$51</f>
        <v>140.52427356164813</v>
      </c>
      <c r="AA66" s="881">
        <f>Y66+Z66</f>
        <v>260.78381687795621</v>
      </c>
      <c r="AB66" s="844"/>
      <c r="AC66" s="834">
        <v>0</v>
      </c>
      <c r="AD66" s="835">
        <v>0</v>
      </c>
      <c r="AE66" s="882">
        <f>AC66+AD66</f>
        <v>0</v>
      </c>
      <c r="AF66" s="844"/>
      <c r="AG66" s="838">
        <f>Crew19!$B$11*Crew19!$N$9</f>
        <v>106.0416253198395</v>
      </c>
      <c r="AH66" s="839">
        <f>Crew19!$B$11*Crew19!$N$9*(Crew19!$B$14-1)</f>
        <v>43.784587094561736</v>
      </c>
      <c r="AI66" s="883">
        <f>AG66+AH66</f>
        <v>149.82621241440123</v>
      </c>
      <c r="AJ66" s="844"/>
      <c r="AK66" s="841">
        <v>0</v>
      </c>
      <c r="AL66" s="825">
        <v>0</v>
      </c>
      <c r="AM66" s="884">
        <v>0</v>
      </c>
    </row>
    <row r="67" spans="1:39" ht="4" customHeight="1">
      <c r="A67" s="820"/>
      <c r="B67" s="808"/>
      <c r="C67" s="808"/>
      <c r="D67" s="885"/>
      <c r="E67" s="885"/>
      <c r="F67" s="885"/>
      <c r="G67" s="885"/>
      <c r="H67" s="885"/>
      <c r="I67" s="885"/>
      <c r="J67" s="885"/>
      <c r="K67" s="974"/>
      <c r="L67" s="1031"/>
      <c r="M67" s="980"/>
      <c r="N67" s="987"/>
      <c r="O67" s="995"/>
      <c r="P67" s="1003"/>
      <c r="Q67" s="1011"/>
      <c r="R67" s="937"/>
      <c r="S67" s="885"/>
      <c r="T67" s="885"/>
      <c r="U67" s="885"/>
      <c r="V67" s="885"/>
      <c r="W67" s="885"/>
      <c r="X67" s="885"/>
      <c r="Y67" s="885"/>
      <c r="Z67" s="885"/>
      <c r="AA67" s="885"/>
      <c r="AB67" s="885"/>
      <c r="AC67" s="885"/>
      <c r="AD67" s="885"/>
      <c r="AE67" s="885"/>
      <c r="AF67" s="885"/>
      <c r="AG67" s="885"/>
      <c r="AH67" s="885"/>
      <c r="AI67" s="885"/>
      <c r="AJ67" s="885"/>
      <c r="AK67" s="885"/>
      <c r="AL67" s="885"/>
      <c r="AM67" s="913"/>
    </row>
    <row r="68" spans="1:39">
      <c r="A68" s="864" t="s">
        <v>1776</v>
      </c>
      <c r="B68" s="808"/>
      <c r="C68" s="869">
        <f>Locomotives19!$F$34</f>
        <v>3.1061731211319832</v>
      </c>
      <c r="D68" s="870">
        <f>FreightEquipData!$FB$52</f>
        <v>106.19630804861076</v>
      </c>
      <c r="E68" s="870">
        <f>FreightEquipData!$FC$52</f>
        <v>6300.980944217572</v>
      </c>
      <c r="F68" s="870">
        <f>FreightEquipData!$FD$52</f>
        <v>9947.9741833066328</v>
      </c>
      <c r="G68" s="870">
        <f>F68/H68</f>
        <v>93.675329831174579</v>
      </c>
      <c r="H68" s="870">
        <f>FreightEquipData!$FE$52</f>
        <v>106.19630804861076</v>
      </c>
      <c r="I68" s="871">
        <v>0</v>
      </c>
      <c r="J68" s="802"/>
      <c r="K68" s="970">
        <f>SUM(M68:Q68)</f>
        <v>1032.8586265690096</v>
      </c>
      <c r="L68" s="1027">
        <f>K68-Q68</f>
        <v>621.10794596528103</v>
      </c>
      <c r="M68" s="1016">
        <f>W68</f>
        <v>210.49791667292376</v>
      </c>
      <c r="N68" s="983">
        <f>AA68</f>
        <v>260.78381687795621</v>
      </c>
      <c r="O68" s="991">
        <f>AE68</f>
        <v>0</v>
      </c>
      <c r="P68" s="999">
        <f>AI68</f>
        <v>149.82621241440123</v>
      </c>
      <c r="Q68" s="1007">
        <f>AM68</f>
        <v>411.75068060372854</v>
      </c>
      <c r="R68" s="936"/>
      <c r="S68" s="826">
        <f>Locomotives19!$B$17*C68</f>
        <v>137.84493347907767</v>
      </c>
      <c r="T68" s="826">
        <f>(Locomotives19!$B$50/24)*C68</f>
        <v>44.9929454684505</v>
      </c>
      <c r="U68" s="826">
        <f>Locomotives19!$B$46*C68</f>
        <v>27.660037725395604</v>
      </c>
      <c r="V68" s="826">
        <v>0</v>
      </c>
      <c r="W68" s="872">
        <f>SUM(S68:V68)</f>
        <v>210.49791667292376</v>
      </c>
      <c r="X68" s="844"/>
      <c r="Y68" s="828">
        <f>D68*FrtEquip19!$B$16</f>
        <v>120.2595433163081</v>
      </c>
      <c r="Z68" s="829">
        <f>D68*FrtEquip19!$B$51</f>
        <v>140.52427356164813</v>
      </c>
      <c r="AA68" s="873">
        <f>Y68+Z68</f>
        <v>260.78381687795621</v>
      </c>
      <c r="AB68" s="844"/>
      <c r="AC68" s="832">
        <v>0</v>
      </c>
      <c r="AD68" s="833">
        <v>0</v>
      </c>
      <c r="AE68" s="874">
        <f>AC68+AD68</f>
        <v>0</v>
      </c>
      <c r="AF68" s="844"/>
      <c r="AG68" s="836">
        <f>Crew19!$B$11*Crew19!$N$9</f>
        <v>106.0416253198395</v>
      </c>
      <c r="AH68" s="837">
        <f>Crew19!$B$11*Crew19!$N$9*(Crew19!$B$14-1)</f>
        <v>43.784587094561736</v>
      </c>
      <c r="AI68" s="875">
        <f>AG68+AH68</f>
        <v>149.82621241440123</v>
      </c>
      <c r="AJ68" s="844"/>
      <c r="AK68" s="840">
        <f>AM68/F68</f>
        <v>4.1390405022831055E-2</v>
      </c>
      <c r="AL68" s="824">
        <f>AM68/H68</f>
        <v>3.8772598423596043</v>
      </c>
      <c r="AM68" s="909">
        <f>FreightEquipData!FF52</f>
        <v>411.75068060372854</v>
      </c>
    </row>
    <row r="69" spans="1:39">
      <c r="A69" s="866" t="s">
        <v>1777</v>
      </c>
      <c r="B69" s="808"/>
      <c r="C69" s="887">
        <f>Locomotives19!$F$34</f>
        <v>3.1061731211319832</v>
      </c>
      <c r="D69" s="888">
        <f>FreightEquipData!$FB$52</f>
        <v>106.19630804861076</v>
      </c>
      <c r="E69" s="888">
        <f>FreightEquipData!$FC$52</f>
        <v>6300.980944217572</v>
      </c>
      <c r="F69" s="888">
        <f>FreightEquipData!$FD$52</f>
        <v>9947.9741833066328</v>
      </c>
      <c r="G69" s="888">
        <f>F69/H69</f>
        <v>93.675329831174579</v>
      </c>
      <c r="H69" s="888">
        <f>FreightEquipData!$FE$52</f>
        <v>106.19630804861076</v>
      </c>
      <c r="I69" s="889">
        <v>0</v>
      </c>
      <c r="J69" s="802"/>
      <c r="K69" s="973">
        <f>SUM(M69:Q69)</f>
        <v>1248.1401286985179</v>
      </c>
      <c r="L69" s="1030">
        <f>K69-Q69</f>
        <v>836.38944809478926</v>
      </c>
      <c r="M69" s="1018">
        <f>W69</f>
        <v>425.77941880243179</v>
      </c>
      <c r="N69" s="986">
        <f>AA69</f>
        <v>260.78381687795621</v>
      </c>
      <c r="O69" s="994">
        <f>AE69</f>
        <v>0</v>
      </c>
      <c r="P69" s="1002">
        <f>AI69</f>
        <v>149.82621241440123</v>
      </c>
      <c r="Q69" s="1010">
        <f>AM69</f>
        <v>411.75068060372854</v>
      </c>
      <c r="R69" s="936"/>
      <c r="S69" s="851">
        <f>Locomotives19!$B$17*C69</f>
        <v>137.84493347907767</v>
      </c>
      <c r="T69" s="851">
        <f>(Locomotives19!$B$50/24)*C69</f>
        <v>44.9929454684505</v>
      </c>
      <c r="U69" s="851">
        <v>0</v>
      </c>
      <c r="V69" s="851">
        <f>C69*Locomotives19!$K$44</f>
        <v>242.94153985490362</v>
      </c>
      <c r="W69" s="890">
        <f>SUM(S69:V69)</f>
        <v>425.77941880243179</v>
      </c>
      <c r="X69" s="844"/>
      <c r="Y69" s="849">
        <f>D69*FrtEquip19!$B$16</f>
        <v>120.2595433163081</v>
      </c>
      <c r="Z69" s="850">
        <f>D69*FrtEquip19!$B$51</f>
        <v>140.52427356164813</v>
      </c>
      <c r="AA69" s="891">
        <f>Y69+Z69</f>
        <v>260.78381687795621</v>
      </c>
      <c r="AB69" s="844"/>
      <c r="AC69" s="847">
        <v>0</v>
      </c>
      <c r="AD69" s="848">
        <v>0</v>
      </c>
      <c r="AE69" s="892">
        <f>AC69+AD69</f>
        <v>0</v>
      </c>
      <c r="AF69" s="844"/>
      <c r="AG69" s="845">
        <f>Crew19!$B$11*Crew19!$N$9</f>
        <v>106.0416253198395</v>
      </c>
      <c r="AH69" s="846">
        <f>Crew19!$B$11*Crew19!$N$9*(Crew19!$B$14-1)</f>
        <v>43.784587094561736</v>
      </c>
      <c r="AI69" s="893">
        <f>AG69+AH69</f>
        <v>149.82621241440123</v>
      </c>
      <c r="AJ69" s="844"/>
      <c r="AK69" s="842">
        <f>AM69/F69</f>
        <v>4.1390405022831055E-2</v>
      </c>
      <c r="AL69" s="843">
        <f>AM69/H69</f>
        <v>3.8772598423596043</v>
      </c>
      <c r="AM69" s="914">
        <f>FreightEquipData!FF52</f>
        <v>411.75068060372854</v>
      </c>
    </row>
    <row r="70" spans="1:39">
      <c r="A70" s="866" t="s">
        <v>1778</v>
      </c>
      <c r="B70" s="808"/>
      <c r="C70" s="887">
        <f>Locomotives19!$F$34</f>
        <v>3.1061731211319832</v>
      </c>
      <c r="D70" s="888">
        <f>FreightEquipData!$FB$52</f>
        <v>106.19630804861076</v>
      </c>
      <c r="E70" s="888">
        <f>FreightEquipData!$FC$52</f>
        <v>6300.980944217572</v>
      </c>
      <c r="F70" s="888">
        <v>0</v>
      </c>
      <c r="G70" s="888">
        <v>0</v>
      </c>
      <c r="H70" s="888">
        <v>0</v>
      </c>
      <c r="I70" s="889">
        <v>0</v>
      </c>
      <c r="J70" s="802"/>
      <c r="K70" s="973">
        <f>SUM(M70:Q70)</f>
        <v>621.10794596528115</v>
      </c>
      <c r="L70" s="1030">
        <f>K70-Q70</f>
        <v>621.10794596528115</v>
      </c>
      <c r="M70" s="1018">
        <f>W70</f>
        <v>210.49791667292376</v>
      </c>
      <c r="N70" s="986">
        <f>AA70</f>
        <v>260.78381687795621</v>
      </c>
      <c r="O70" s="994">
        <f>AE70</f>
        <v>0</v>
      </c>
      <c r="P70" s="1002">
        <f>AI70</f>
        <v>149.82621241440123</v>
      </c>
      <c r="Q70" s="1010">
        <f>AM70</f>
        <v>0</v>
      </c>
      <c r="R70" s="936"/>
      <c r="S70" s="851">
        <f>Locomotives19!$B$17*C70</f>
        <v>137.84493347907767</v>
      </c>
      <c r="T70" s="851">
        <f>(Locomotives19!$B$50/24)*C70</f>
        <v>44.9929454684505</v>
      </c>
      <c r="U70" s="851">
        <f>Locomotives19!$B$46*C70</f>
        <v>27.660037725395604</v>
      </c>
      <c r="V70" s="851">
        <v>0</v>
      </c>
      <c r="W70" s="890">
        <f>SUM(S70:V70)</f>
        <v>210.49791667292376</v>
      </c>
      <c r="X70" s="844"/>
      <c r="Y70" s="849">
        <f>D70*FrtEquip19!$B$16</f>
        <v>120.2595433163081</v>
      </c>
      <c r="Z70" s="850">
        <f>D70*FrtEquip19!$B$51</f>
        <v>140.52427356164813</v>
      </c>
      <c r="AA70" s="891">
        <f>Y70+Z70</f>
        <v>260.78381687795621</v>
      </c>
      <c r="AB70" s="844"/>
      <c r="AC70" s="847">
        <v>0</v>
      </c>
      <c r="AD70" s="848">
        <v>0</v>
      </c>
      <c r="AE70" s="892">
        <f>AC70+AD70</f>
        <v>0</v>
      </c>
      <c r="AF70" s="844"/>
      <c r="AG70" s="845">
        <f>Crew19!$B$11*Crew19!$N$9</f>
        <v>106.0416253198395</v>
      </c>
      <c r="AH70" s="846">
        <f>Crew19!$B$11*Crew19!$N$9*(Crew19!$B$14-1)</f>
        <v>43.784587094561736</v>
      </c>
      <c r="AI70" s="893">
        <f>AG70+AH70</f>
        <v>149.82621241440123</v>
      </c>
      <c r="AJ70" s="844"/>
      <c r="AK70" s="842">
        <v>0</v>
      </c>
      <c r="AL70" s="843">
        <v>0</v>
      </c>
      <c r="AM70" s="894">
        <v>0</v>
      </c>
    </row>
    <row r="71" spans="1:39">
      <c r="A71" s="865" t="s">
        <v>1779</v>
      </c>
      <c r="B71" s="808"/>
      <c r="C71" s="877">
        <f>Locomotives19!$F$34</f>
        <v>3.1061731211319832</v>
      </c>
      <c r="D71" s="878">
        <f>FreightEquipData!$FB$52</f>
        <v>106.19630804861076</v>
      </c>
      <c r="E71" s="878">
        <f>FreightEquipData!$FC$52</f>
        <v>6300.980944217572</v>
      </c>
      <c r="F71" s="878">
        <v>0</v>
      </c>
      <c r="G71" s="878">
        <v>0</v>
      </c>
      <c r="H71" s="878">
        <v>0</v>
      </c>
      <c r="I71" s="879">
        <v>0</v>
      </c>
      <c r="J71" s="802"/>
      <c r="K71" s="971">
        <f>SUM(M71:Q71)</f>
        <v>836.38944809478926</v>
      </c>
      <c r="L71" s="1028">
        <f>K71-Q71</f>
        <v>836.38944809478926</v>
      </c>
      <c r="M71" s="1017">
        <f>W71</f>
        <v>425.77941880243179</v>
      </c>
      <c r="N71" s="984">
        <f>AA71</f>
        <v>260.78381687795621</v>
      </c>
      <c r="O71" s="992">
        <f>AE71</f>
        <v>0</v>
      </c>
      <c r="P71" s="1000">
        <f>AI71</f>
        <v>149.82621241440123</v>
      </c>
      <c r="Q71" s="1008">
        <f>AM71</f>
        <v>0</v>
      </c>
      <c r="R71" s="936"/>
      <c r="S71" s="827">
        <f>Locomotives19!$B$17*C71</f>
        <v>137.84493347907767</v>
      </c>
      <c r="T71" s="827">
        <f>(Locomotives19!$B$50/24)*C71</f>
        <v>44.9929454684505</v>
      </c>
      <c r="U71" s="827">
        <v>0</v>
      </c>
      <c r="V71" s="827">
        <f>C71*Locomotives19!$K$44</f>
        <v>242.94153985490362</v>
      </c>
      <c r="W71" s="880">
        <f>SUM(S71:V71)</f>
        <v>425.77941880243179</v>
      </c>
      <c r="X71" s="844"/>
      <c r="Y71" s="830">
        <f>D71*FrtEquip19!$B$16</f>
        <v>120.2595433163081</v>
      </c>
      <c r="Z71" s="831">
        <f>D71*FrtEquip19!$B$51</f>
        <v>140.52427356164813</v>
      </c>
      <c r="AA71" s="881">
        <f>Y71+Z71</f>
        <v>260.78381687795621</v>
      </c>
      <c r="AB71" s="844"/>
      <c r="AC71" s="834">
        <v>0</v>
      </c>
      <c r="AD71" s="835">
        <v>0</v>
      </c>
      <c r="AE71" s="882">
        <f>AC71+AD71</f>
        <v>0</v>
      </c>
      <c r="AF71" s="844"/>
      <c r="AG71" s="838">
        <f>Crew19!$B$11*Crew19!$N$9</f>
        <v>106.0416253198395</v>
      </c>
      <c r="AH71" s="839">
        <f>Crew19!$B$11*Crew19!$N$9*(Crew19!$B$14-1)</f>
        <v>43.784587094561736</v>
      </c>
      <c r="AI71" s="883">
        <f>AG71+AH71</f>
        <v>149.82621241440123</v>
      </c>
      <c r="AJ71" s="844"/>
      <c r="AK71" s="841">
        <v>0</v>
      </c>
      <c r="AL71" s="825">
        <v>0</v>
      </c>
      <c r="AM71" s="884">
        <v>0</v>
      </c>
    </row>
    <row r="72" spans="1:39" ht="4" customHeight="1">
      <c r="A72" s="820"/>
      <c r="B72" s="808"/>
      <c r="C72" s="808"/>
      <c r="D72" s="885"/>
      <c r="E72" s="885"/>
      <c r="F72" s="885"/>
      <c r="G72" s="885"/>
      <c r="H72" s="885"/>
      <c r="I72" s="885"/>
      <c r="J72" s="885"/>
      <c r="K72" s="974"/>
      <c r="L72" s="1031"/>
      <c r="M72" s="980"/>
      <c r="N72" s="987"/>
      <c r="O72" s="995"/>
      <c r="P72" s="1003"/>
      <c r="Q72" s="1011"/>
      <c r="R72" s="937"/>
      <c r="S72" s="885"/>
      <c r="T72" s="885"/>
      <c r="U72" s="885"/>
      <c r="V72" s="885"/>
      <c r="W72" s="885"/>
      <c r="X72" s="885"/>
      <c r="Y72" s="885"/>
      <c r="Z72" s="885"/>
      <c r="AA72" s="885"/>
      <c r="AB72" s="885"/>
      <c r="AC72" s="885"/>
      <c r="AD72" s="885"/>
      <c r="AE72" s="885"/>
      <c r="AF72" s="885"/>
      <c r="AG72" s="885"/>
      <c r="AH72" s="885"/>
      <c r="AI72" s="885"/>
      <c r="AJ72" s="885"/>
      <c r="AK72" s="885"/>
      <c r="AL72" s="885"/>
      <c r="AM72" s="913"/>
    </row>
    <row r="73" spans="1:39">
      <c r="A73" s="864" t="s">
        <v>1801</v>
      </c>
      <c r="B73" s="808"/>
      <c r="C73" s="869">
        <f>Locomotives19!$F$34</f>
        <v>3.1061731211319832</v>
      </c>
      <c r="D73" s="870">
        <f>FreightEquipData!$FB$67</f>
        <v>103.87810882858668</v>
      </c>
      <c r="E73" s="870">
        <f>FreightEquipData!$FC$67</f>
        <v>5537.3533848626294</v>
      </c>
      <c r="F73" s="870">
        <f>FreightEquipData!$FD$67</f>
        <v>11110.223707269015</v>
      </c>
      <c r="G73" s="870">
        <f>F73/H73</f>
        <v>106.95442795943107</v>
      </c>
      <c r="H73" s="870">
        <f>FreightEquipData!$FE$67</f>
        <v>103.87810882858668</v>
      </c>
      <c r="I73" s="871">
        <v>0</v>
      </c>
      <c r="J73" s="802"/>
      <c r="K73" s="970">
        <f>SUM(M73:Q73)</f>
        <v>637.42142079446387</v>
      </c>
      <c r="L73" s="1027">
        <f>K73-Q73</f>
        <v>615.41519777101576</v>
      </c>
      <c r="M73" s="1016">
        <f>W73</f>
        <v>210.49791667292376</v>
      </c>
      <c r="N73" s="983">
        <f>AA73</f>
        <v>255.09106868369082</v>
      </c>
      <c r="O73" s="991">
        <f>AE73</f>
        <v>0</v>
      </c>
      <c r="P73" s="999">
        <f>AI73</f>
        <v>149.82621241440123</v>
      </c>
      <c r="Q73" s="1007">
        <f>AM73</f>
        <v>22.006223023448143</v>
      </c>
      <c r="R73" s="936"/>
      <c r="S73" s="826">
        <f>Locomotives19!$B$17*C73</f>
        <v>137.84493347907767</v>
      </c>
      <c r="T73" s="826">
        <f>(Locomotives19!$B$50/24)*C73</f>
        <v>44.9929454684505</v>
      </c>
      <c r="U73" s="826">
        <f>Locomotives19!$B$46*C73</f>
        <v>27.660037725395604</v>
      </c>
      <c r="V73" s="826">
        <v>0</v>
      </c>
      <c r="W73" s="872">
        <f>SUM(S73:V73)</f>
        <v>210.49791667292376</v>
      </c>
      <c r="X73" s="844"/>
      <c r="Y73" s="828">
        <f>D73*FrtEquip19!$B$16</f>
        <v>117.63435243501395</v>
      </c>
      <c r="Z73" s="829">
        <f>D73*FrtEquip19!$B$51</f>
        <v>137.45671624867688</v>
      </c>
      <c r="AA73" s="873">
        <f>Y73+Z73</f>
        <v>255.09106868369082</v>
      </c>
      <c r="AB73" s="844"/>
      <c r="AC73" s="832">
        <v>0</v>
      </c>
      <c r="AD73" s="833">
        <v>0</v>
      </c>
      <c r="AE73" s="874">
        <f>AC73+AD73</f>
        <v>0</v>
      </c>
      <c r="AF73" s="844"/>
      <c r="AG73" s="836">
        <f>Crew19!$B$11*Crew19!$N$9</f>
        <v>106.0416253198395</v>
      </c>
      <c r="AH73" s="837">
        <f>Crew19!$B$11*Crew19!$N$9*(Crew19!$B$14-1)</f>
        <v>43.784587094561736</v>
      </c>
      <c r="AI73" s="875">
        <f>AG73+AH73</f>
        <v>149.82621241440123</v>
      </c>
      <c r="AJ73" s="844"/>
      <c r="AK73" s="840">
        <f>AM73/F73</f>
        <v>1.9807182648401826E-3</v>
      </c>
      <c r="AL73" s="824">
        <f>AM73/H73</f>
        <v>0.21184658896477862</v>
      </c>
      <c r="AM73" s="915">
        <f>FreightEquipData!FF67</f>
        <v>22.006223023448143</v>
      </c>
    </row>
    <row r="74" spans="1:39">
      <c r="A74" s="866" t="s">
        <v>1802</v>
      </c>
      <c r="B74" s="808"/>
      <c r="C74" s="887">
        <f>Locomotives19!$F$34</f>
        <v>3.1061731211319832</v>
      </c>
      <c r="D74" s="888">
        <f>FreightEquipData!$FB$67</f>
        <v>103.87810882858668</v>
      </c>
      <c r="E74" s="888">
        <f>FreightEquipData!$FC$67</f>
        <v>5537.3533848626294</v>
      </c>
      <c r="F74" s="888">
        <f>FreightEquipData!$FD$67</f>
        <v>11110.223707269015</v>
      </c>
      <c r="G74" s="888">
        <f>F74/H74</f>
        <v>106.95442795943107</v>
      </c>
      <c r="H74" s="888">
        <f>FreightEquipData!$FE$67</f>
        <v>103.87810882858668</v>
      </c>
      <c r="I74" s="889">
        <v>0</v>
      </c>
      <c r="J74" s="802"/>
      <c r="K74" s="973">
        <f>SUM(M74:Q74)</f>
        <v>852.70292292397187</v>
      </c>
      <c r="L74" s="1030">
        <f>K74-Q74</f>
        <v>830.69669990052375</v>
      </c>
      <c r="M74" s="1018">
        <f>W74</f>
        <v>425.77941880243179</v>
      </c>
      <c r="N74" s="986">
        <f>AA74</f>
        <v>255.09106868369082</v>
      </c>
      <c r="O74" s="994">
        <f>AE74</f>
        <v>0</v>
      </c>
      <c r="P74" s="1002">
        <f>AI74</f>
        <v>149.82621241440123</v>
      </c>
      <c r="Q74" s="1010">
        <f>AM74</f>
        <v>22.006223023448143</v>
      </c>
      <c r="R74" s="936"/>
      <c r="S74" s="851">
        <f>Locomotives19!$B$17*C74</f>
        <v>137.84493347907767</v>
      </c>
      <c r="T74" s="851">
        <f>(Locomotives19!$B$50/24)*C74</f>
        <v>44.9929454684505</v>
      </c>
      <c r="U74" s="851">
        <v>0</v>
      </c>
      <c r="V74" s="851">
        <f>C74*Locomotives19!$K$44</f>
        <v>242.94153985490362</v>
      </c>
      <c r="W74" s="890">
        <f>SUM(S74:V74)</f>
        <v>425.77941880243179</v>
      </c>
      <c r="X74" s="844"/>
      <c r="Y74" s="849">
        <f>D74*FrtEquip19!$B$16</f>
        <v>117.63435243501395</v>
      </c>
      <c r="Z74" s="850">
        <f>D74*FrtEquip19!$B$51</f>
        <v>137.45671624867688</v>
      </c>
      <c r="AA74" s="891">
        <f>Y74+Z74</f>
        <v>255.09106868369082</v>
      </c>
      <c r="AB74" s="844"/>
      <c r="AC74" s="847">
        <v>0</v>
      </c>
      <c r="AD74" s="848">
        <v>0</v>
      </c>
      <c r="AE74" s="892">
        <f>AC74+AD74</f>
        <v>0</v>
      </c>
      <c r="AF74" s="844"/>
      <c r="AG74" s="845">
        <f>Crew19!$B$11*Crew19!$N$9</f>
        <v>106.0416253198395</v>
      </c>
      <c r="AH74" s="846">
        <f>Crew19!$B$11*Crew19!$N$9*(Crew19!$B$14-1)</f>
        <v>43.784587094561736</v>
      </c>
      <c r="AI74" s="893">
        <f>AG74+AH74</f>
        <v>149.82621241440123</v>
      </c>
      <c r="AJ74" s="844"/>
      <c r="AK74" s="842">
        <f>AM74/F74</f>
        <v>1.9807182648401826E-3</v>
      </c>
      <c r="AL74" s="843">
        <f>AM74/H74</f>
        <v>0.21184658896477862</v>
      </c>
      <c r="AM74" s="916">
        <f>FreightEquipData!FF67</f>
        <v>22.006223023448143</v>
      </c>
    </row>
    <row r="75" spans="1:39">
      <c r="A75" s="866" t="s">
        <v>1803</v>
      </c>
      <c r="B75" s="808"/>
      <c r="C75" s="887">
        <f>Locomotives19!$F$34</f>
        <v>3.1061731211319832</v>
      </c>
      <c r="D75" s="888">
        <f>FreightEquipData!$FB$67</f>
        <v>103.87810882858668</v>
      </c>
      <c r="E75" s="888">
        <f>FreightEquipData!$FC$67</f>
        <v>5537.3533848626294</v>
      </c>
      <c r="F75" s="888">
        <v>0</v>
      </c>
      <c r="G75" s="888">
        <v>0</v>
      </c>
      <c r="H75" s="888">
        <v>0</v>
      </c>
      <c r="I75" s="889">
        <v>0</v>
      </c>
      <c r="J75" s="802"/>
      <c r="K75" s="973">
        <f>SUM(M75:Q75)</f>
        <v>615.41519777101576</v>
      </c>
      <c r="L75" s="1030">
        <f>K75-Q75</f>
        <v>615.41519777101576</v>
      </c>
      <c r="M75" s="1018">
        <f>W75</f>
        <v>210.49791667292376</v>
      </c>
      <c r="N75" s="986">
        <f>AA75</f>
        <v>255.09106868369082</v>
      </c>
      <c r="O75" s="994">
        <f>AE75</f>
        <v>0</v>
      </c>
      <c r="P75" s="1002">
        <f>AI75</f>
        <v>149.82621241440123</v>
      </c>
      <c r="Q75" s="1010">
        <f>AM75</f>
        <v>0</v>
      </c>
      <c r="R75" s="936"/>
      <c r="S75" s="851">
        <f>Locomotives19!$B$17*C75</f>
        <v>137.84493347907767</v>
      </c>
      <c r="T75" s="851">
        <f>(Locomotives19!$B$50/24)*C75</f>
        <v>44.9929454684505</v>
      </c>
      <c r="U75" s="851">
        <f>Locomotives19!$B$46*C75</f>
        <v>27.660037725395604</v>
      </c>
      <c r="V75" s="851">
        <v>0</v>
      </c>
      <c r="W75" s="890">
        <f>SUM(S75:V75)</f>
        <v>210.49791667292376</v>
      </c>
      <c r="X75" s="844"/>
      <c r="Y75" s="849">
        <f>D75*FrtEquip19!$B$16</f>
        <v>117.63435243501395</v>
      </c>
      <c r="Z75" s="850">
        <f>D75*FrtEquip19!$B$51</f>
        <v>137.45671624867688</v>
      </c>
      <c r="AA75" s="891">
        <f>Y75+Z75</f>
        <v>255.09106868369082</v>
      </c>
      <c r="AB75" s="844"/>
      <c r="AC75" s="847">
        <v>0</v>
      </c>
      <c r="AD75" s="848">
        <v>0</v>
      </c>
      <c r="AE75" s="892">
        <f>AC75+AD75</f>
        <v>0</v>
      </c>
      <c r="AF75" s="844"/>
      <c r="AG75" s="845">
        <f>Crew19!$B$11*Crew19!$N$9</f>
        <v>106.0416253198395</v>
      </c>
      <c r="AH75" s="846">
        <f>Crew19!$B$11*Crew19!$N$9*(Crew19!$B$14-1)</f>
        <v>43.784587094561736</v>
      </c>
      <c r="AI75" s="893">
        <f>AG75+AH75</f>
        <v>149.82621241440123</v>
      </c>
      <c r="AJ75" s="844"/>
      <c r="AK75" s="842">
        <v>0</v>
      </c>
      <c r="AL75" s="843">
        <v>0</v>
      </c>
      <c r="AM75" s="894">
        <v>0</v>
      </c>
    </row>
    <row r="76" spans="1:39">
      <c r="A76" s="865" t="s">
        <v>1804</v>
      </c>
      <c r="B76" s="808"/>
      <c r="C76" s="877">
        <f>Locomotives19!$F$34</f>
        <v>3.1061731211319832</v>
      </c>
      <c r="D76" s="878">
        <f>FreightEquipData!$FB$67</f>
        <v>103.87810882858668</v>
      </c>
      <c r="E76" s="878">
        <f>FreightEquipData!$FC$67</f>
        <v>5537.3533848626294</v>
      </c>
      <c r="F76" s="878">
        <v>0</v>
      </c>
      <c r="G76" s="878">
        <v>0</v>
      </c>
      <c r="H76" s="878">
        <v>0</v>
      </c>
      <c r="I76" s="879">
        <v>0</v>
      </c>
      <c r="J76" s="802"/>
      <c r="K76" s="971">
        <f>SUM(M76:Q76)</f>
        <v>830.69669990052375</v>
      </c>
      <c r="L76" s="1028">
        <f>K76-Q76</f>
        <v>830.69669990052375</v>
      </c>
      <c r="M76" s="1017">
        <f>W76</f>
        <v>425.77941880243179</v>
      </c>
      <c r="N76" s="984">
        <f>AA76</f>
        <v>255.09106868369082</v>
      </c>
      <c r="O76" s="992">
        <f>AE76</f>
        <v>0</v>
      </c>
      <c r="P76" s="1000">
        <f>AI76</f>
        <v>149.82621241440123</v>
      </c>
      <c r="Q76" s="1008">
        <f>AM76</f>
        <v>0</v>
      </c>
      <c r="R76" s="936"/>
      <c r="S76" s="827">
        <f>Locomotives19!$B$17*C76</f>
        <v>137.84493347907767</v>
      </c>
      <c r="T76" s="827">
        <f>(Locomotives19!$B$50/24)*C76</f>
        <v>44.9929454684505</v>
      </c>
      <c r="U76" s="827">
        <v>0</v>
      </c>
      <c r="V76" s="827">
        <f>C76*Locomotives19!$K$44</f>
        <v>242.94153985490362</v>
      </c>
      <c r="W76" s="880">
        <f>SUM(S76:V76)</f>
        <v>425.77941880243179</v>
      </c>
      <c r="X76" s="844"/>
      <c r="Y76" s="830">
        <f>D76*FrtEquip19!$B$16</f>
        <v>117.63435243501395</v>
      </c>
      <c r="Z76" s="831">
        <f>D76*FrtEquip19!$B$51</f>
        <v>137.45671624867688</v>
      </c>
      <c r="AA76" s="881">
        <f>Y76+Z76</f>
        <v>255.09106868369082</v>
      </c>
      <c r="AB76" s="844"/>
      <c r="AC76" s="834">
        <v>0</v>
      </c>
      <c r="AD76" s="835">
        <v>0</v>
      </c>
      <c r="AE76" s="882">
        <f>AC76+AD76</f>
        <v>0</v>
      </c>
      <c r="AF76" s="844"/>
      <c r="AG76" s="838">
        <f>Crew19!$B$11*Crew19!$N$9</f>
        <v>106.0416253198395</v>
      </c>
      <c r="AH76" s="839">
        <f>Crew19!$B$11*Crew19!$N$9*(Crew19!$B$14-1)</f>
        <v>43.784587094561736</v>
      </c>
      <c r="AI76" s="883">
        <f>AG76+AH76</f>
        <v>149.82621241440123</v>
      </c>
      <c r="AJ76" s="844"/>
      <c r="AK76" s="841">
        <v>0</v>
      </c>
      <c r="AL76" s="825">
        <v>0</v>
      </c>
      <c r="AM76" s="884">
        <v>0</v>
      </c>
    </row>
    <row r="77" spans="1:39" ht="4" customHeight="1">
      <c r="A77" s="820"/>
      <c r="B77" s="808"/>
      <c r="C77" s="808"/>
      <c r="D77" s="885"/>
      <c r="E77" s="885"/>
      <c r="F77" s="885"/>
      <c r="G77" s="885"/>
      <c r="H77" s="885"/>
      <c r="I77" s="885"/>
      <c r="J77" s="885"/>
      <c r="K77" s="974"/>
      <c r="L77" s="1031"/>
      <c r="M77" s="980"/>
      <c r="N77" s="987"/>
      <c r="O77" s="995"/>
      <c r="P77" s="1003"/>
      <c r="Q77" s="1011"/>
      <c r="R77" s="937"/>
      <c r="S77" s="885"/>
      <c r="T77" s="885"/>
      <c r="U77" s="885"/>
      <c r="V77" s="885"/>
      <c r="W77" s="885"/>
      <c r="X77" s="885"/>
      <c r="Y77" s="885"/>
      <c r="Z77" s="885"/>
      <c r="AA77" s="885"/>
      <c r="AB77" s="885"/>
      <c r="AC77" s="885"/>
      <c r="AD77" s="885"/>
      <c r="AE77" s="885"/>
      <c r="AF77" s="885"/>
      <c r="AG77" s="885"/>
      <c r="AH77" s="885"/>
      <c r="AI77" s="885"/>
      <c r="AJ77" s="885"/>
      <c r="AK77" s="885"/>
      <c r="AL77" s="885"/>
      <c r="AM77" s="913"/>
    </row>
    <row r="78" spans="1:39">
      <c r="A78" s="864" t="s">
        <v>1780</v>
      </c>
      <c r="B78" s="808"/>
      <c r="C78" s="869">
        <f>Locomotives19!$F$36</f>
        <v>2.8598379334087625</v>
      </c>
      <c r="D78" s="870">
        <f>FreightEquipData!$FB$55</f>
        <v>63.103742277636805</v>
      </c>
      <c r="E78" s="870">
        <f>FreightEquipData!$FC$55</f>
        <v>5537.3533848626294</v>
      </c>
      <c r="F78" s="870">
        <f>FreightEquipData!$FD$55</f>
        <v>6197.3114242779948</v>
      </c>
      <c r="G78" s="870">
        <f>F78/H78</f>
        <v>98.208302718589266</v>
      </c>
      <c r="H78" s="870">
        <f>FreightEquipData!$FE$55</f>
        <v>63.103742277636805</v>
      </c>
      <c r="I78" s="871">
        <v>0</v>
      </c>
      <c r="J78" s="802"/>
      <c r="K78" s="970">
        <f>SUM(M78:Q78)</f>
        <v>712.90860207372543</v>
      </c>
      <c r="L78" s="1027">
        <f>K78-Q78</f>
        <v>498.59298314602256</v>
      </c>
      <c r="M78" s="1016">
        <f>W78</f>
        <v>193.80437069308005</v>
      </c>
      <c r="N78" s="983">
        <f>AA78</f>
        <v>154.96240003854126</v>
      </c>
      <c r="O78" s="991">
        <f>AE78</f>
        <v>0</v>
      </c>
      <c r="P78" s="999">
        <f>AI78</f>
        <v>149.82621241440123</v>
      </c>
      <c r="Q78" s="1007">
        <f>AM78</f>
        <v>214.31561892770287</v>
      </c>
      <c r="R78" s="936"/>
      <c r="S78" s="826">
        <f>Locomotives19!$B$17*C78</f>
        <v>126.91313533355485</v>
      </c>
      <c r="T78" s="826">
        <f>(Locomotives19!$B$50/24)*C78</f>
        <v>41.424778068897353</v>
      </c>
      <c r="U78" s="826">
        <f>Locomotives19!$B$46*C78</f>
        <v>25.466457290627822</v>
      </c>
      <c r="V78" s="826">
        <v>0</v>
      </c>
      <c r="W78" s="872">
        <f>SUM(S78:V78)</f>
        <v>193.80437069308005</v>
      </c>
      <c r="X78" s="844"/>
      <c r="Y78" s="828">
        <f>D78*FrtEquip19!$B$16</f>
        <v>71.460367759535131</v>
      </c>
      <c r="Z78" s="829">
        <f>D78*FrtEquip19!$B$51</f>
        <v>83.502032279006144</v>
      </c>
      <c r="AA78" s="873">
        <f>Y78+Z78</f>
        <v>154.96240003854126</v>
      </c>
      <c r="AB78" s="844"/>
      <c r="AC78" s="832">
        <v>0</v>
      </c>
      <c r="AD78" s="833">
        <v>0</v>
      </c>
      <c r="AE78" s="874">
        <f>AC78+AD78</f>
        <v>0</v>
      </c>
      <c r="AF78" s="844"/>
      <c r="AG78" s="836">
        <f>Crew19!$B$11*Crew19!$N$9</f>
        <v>106.0416253198395</v>
      </c>
      <c r="AH78" s="837">
        <f>Crew19!$B$11*Crew19!$N$9*(Crew19!$B$14-1)</f>
        <v>43.784587094561736</v>
      </c>
      <c r="AI78" s="875">
        <f>AG78+AH78</f>
        <v>149.82621241440123</v>
      </c>
      <c r="AJ78" s="844"/>
      <c r="AK78" s="840">
        <f>AM78/F78</f>
        <v>3.458203150613353E-2</v>
      </c>
      <c r="AL78" s="824">
        <f>AM78/H78</f>
        <v>3.3962426187781531</v>
      </c>
      <c r="AM78" s="909">
        <f>FreightEquipData!FF55</f>
        <v>214.31561892770287</v>
      </c>
    </row>
    <row r="79" spans="1:39">
      <c r="A79" s="866" t="s">
        <v>1781</v>
      </c>
      <c r="B79" s="808"/>
      <c r="C79" s="887">
        <f>Locomotives19!$F$36</f>
        <v>2.8598379334087625</v>
      </c>
      <c r="D79" s="888">
        <f>FreightEquipData!$FB$55</f>
        <v>63.103742277636805</v>
      </c>
      <c r="E79" s="888">
        <f>FreightEquipData!$FC$55</f>
        <v>5537.3533848626294</v>
      </c>
      <c r="F79" s="888">
        <f>FreightEquipData!$FD$55</f>
        <v>6197.3114242779948</v>
      </c>
      <c r="G79" s="888">
        <f>F79/H79</f>
        <v>98.208302718589266</v>
      </c>
      <c r="H79" s="888">
        <f>FreightEquipData!$FE$55</f>
        <v>63.103742277636805</v>
      </c>
      <c r="I79" s="889">
        <v>0</v>
      </c>
      <c r="J79" s="802"/>
      <c r="K79" s="973">
        <f>SUM(M79:Q79)</f>
        <v>911.11719578109012</v>
      </c>
      <c r="L79" s="1030">
        <f>K79-Q79</f>
        <v>696.80157685338725</v>
      </c>
      <c r="M79" s="1018">
        <f>W79</f>
        <v>392.01296440044479</v>
      </c>
      <c r="N79" s="986">
        <f>AA79</f>
        <v>154.96240003854126</v>
      </c>
      <c r="O79" s="994">
        <f>AE79</f>
        <v>0</v>
      </c>
      <c r="P79" s="1002">
        <f>AI79</f>
        <v>149.82621241440123</v>
      </c>
      <c r="Q79" s="1010">
        <f>AM79</f>
        <v>214.31561892770287</v>
      </c>
      <c r="R79" s="936"/>
      <c r="S79" s="851">
        <f>Locomotives19!$B$17*C79</f>
        <v>126.91313533355485</v>
      </c>
      <c r="T79" s="851">
        <f>(Locomotives19!$B$50/24)*C79</f>
        <v>41.424778068897353</v>
      </c>
      <c r="U79" s="851">
        <v>0</v>
      </c>
      <c r="V79" s="851">
        <f>C79*Locomotives19!$K$44</f>
        <v>223.67505099799257</v>
      </c>
      <c r="W79" s="890">
        <f>SUM(S79:V79)</f>
        <v>392.01296440044479</v>
      </c>
      <c r="X79" s="844"/>
      <c r="Y79" s="849">
        <f>D79*FrtEquip19!$B$16</f>
        <v>71.460367759535131</v>
      </c>
      <c r="Z79" s="850">
        <f>D79*FrtEquip19!$B$51</f>
        <v>83.502032279006144</v>
      </c>
      <c r="AA79" s="891">
        <f>Y79+Z79</f>
        <v>154.96240003854126</v>
      </c>
      <c r="AB79" s="844"/>
      <c r="AC79" s="847">
        <v>0</v>
      </c>
      <c r="AD79" s="848">
        <v>0</v>
      </c>
      <c r="AE79" s="892">
        <f>AC79+AD79</f>
        <v>0</v>
      </c>
      <c r="AF79" s="844"/>
      <c r="AG79" s="845">
        <f>Crew19!$B$11*Crew19!$N$9</f>
        <v>106.0416253198395</v>
      </c>
      <c r="AH79" s="846">
        <f>Crew19!$B$11*Crew19!$N$9*(Crew19!$B$14-1)</f>
        <v>43.784587094561736</v>
      </c>
      <c r="AI79" s="893">
        <f>AG79+AH79</f>
        <v>149.82621241440123</v>
      </c>
      <c r="AJ79" s="844"/>
      <c r="AK79" s="842">
        <f>AM79/F79</f>
        <v>3.458203150613353E-2</v>
      </c>
      <c r="AL79" s="843">
        <f>AM79/H79</f>
        <v>3.3962426187781531</v>
      </c>
      <c r="AM79" s="914">
        <f>FreightEquipData!FF55</f>
        <v>214.31561892770287</v>
      </c>
    </row>
    <row r="80" spans="1:39">
      <c r="A80" s="866" t="s">
        <v>1782</v>
      </c>
      <c r="B80" s="808"/>
      <c r="C80" s="887">
        <f>Locomotives19!$F$36</f>
        <v>2.8598379334087625</v>
      </c>
      <c r="D80" s="888">
        <f>FreightEquipData!$FB$55</f>
        <v>63.103742277636805</v>
      </c>
      <c r="E80" s="888">
        <f>FreightEquipData!$FC$55</f>
        <v>5537.3533848626294</v>
      </c>
      <c r="F80" s="888">
        <v>0</v>
      </c>
      <c r="G80" s="888">
        <v>0</v>
      </c>
      <c r="H80" s="888">
        <v>0</v>
      </c>
      <c r="I80" s="889">
        <v>0</v>
      </c>
      <c r="J80" s="802"/>
      <c r="K80" s="973">
        <f>SUM(M80:Q80)</f>
        <v>498.59298314602256</v>
      </c>
      <c r="L80" s="1030">
        <f>K80-Q80</f>
        <v>498.59298314602256</v>
      </c>
      <c r="M80" s="1018">
        <f>W80</f>
        <v>193.80437069308005</v>
      </c>
      <c r="N80" s="986">
        <f>AA80</f>
        <v>154.96240003854126</v>
      </c>
      <c r="O80" s="994">
        <f>AE80</f>
        <v>0</v>
      </c>
      <c r="P80" s="1002">
        <f>AI80</f>
        <v>149.82621241440123</v>
      </c>
      <c r="Q80" s="1010">
        <f>AM80</f>
        <v>0</v>
      </c>
      <c r="R80" s="936"/>
      <c r="S80" s="851">
        <f>Locomotives19!$B$17*C80</f>
        <v>126.91313533355485</v>
      </c>
      <c r="T80" s="851">
        <f>(Locomotives19!$B$50/24)*C80</f>
        <v>41.424778068897353</v>
      </c>
      <c r="U80" s="851">
        <f>Locomotives19!$B$46*C80</f>
        <v>25.466457290627822</v>
      </c>
      <c r="V80" s="851">
        <v>0</v>
      </c>
      <c r="W80" s="890">
        <f>SUM(S80:V80)</f>
        <v>193.80437069308005</v>
      </c>
      <c r="X80" s="844"/>
      <c r="Y80" s="849">
        <f>D80*FrtEquip19!$B$16</f>
        <v>71.460367759535131</v>
      </c>
      <c r="Z80" s="850">
        <f>D80*FrtEquip19!$B$51</f>
        <v>83.502032279006144</v>
      </c>
      <c r="AA80" s="891">
        <f>Y80+Z80</f>
        <v>154.96240003854126</v>
      </c>
      <c r="AB80" s="844"/>
      <c r="AC80" s="847">
        <v>0</v>
      </c>
      <c r="AD80" s="848">
        <v>0</v>
      </c>
      <c r="AE80" s="892">
        <f>AC80+AD80</f>
        <v>0</v>
      </c>
      <c r="AF80" s="844"/>
      <c r="AG80" s="845">
        <f>Crew19!$B$11*Crew19!$N$9</f>
        <v>106.0416253198395</v>
      </c>
      <c r="AH80" s="846">
        <f>Crew19!$B$11*Crew19!$N$9*(Crew19!$B$14-1)</f>
        <v>43.784587094561736</v>
      </c>
      <c r="AI80" s="893">
        <f>AG80+AH80</f>
        <v>149.82621241440123</v>
      </c>
      <c r="AJ80" s="844"/>
      <c r="AK80" s="842">
        <v>0</v>
      </c>
      <c r="AL80" s="843">
        <v>0</v>
      </c>
      <c r="AM80" s="894">
        <v>0</v>
      </c>
    </row>
    <row r="81" spans="1:39">
      <c r="A81" s="865" t="s">
        <v>1783</v>
      </c>
      <c r="B81" s="808"/>
      <c r="C81" s="877">
        <f>Locomotives19!$F$36</f>
        <v>2.8598379334087625</v>
      </c>
      <c r="D81" s="878">
        <f>FreightEquipData!$FB$55</f>
        <v>63.103742277636805</v>
      </c>
      <c r="E81" s="878">
        <f>FreightEquipData!$FC$55</f>
        <v>5537.3533848626294</v>
      </c>
      <c r="F81" s="878">
        <v>0</v>
      </c>
      <c r="G81" s="878">
        <v>0</v>
      </c>
      <c r="H81" s="878">
        <v>0</v>
      </c>
      <c r="I81" s="879">
        <v>0</v>
      </c>
      <c r="J81" s="802"/>
      <c r="K81" s="971">
        <f>SUM(M81:Q81)</f>
        <v>696.80157685338725</v>
      </c>
      <c r="L81" s="1028">
        <f>K81-Q81</f>
        <v>696.80157685338725</v>
      </c>
      <c r="M81" s="1017">
        <f>W81</f>
        <v>392.01296440044479</v>
      </c>
      <c r="N81" s="984">
        <f>AA81</f>
        <v>154.96240003854126</v>
      </c>
      <c r="O81" s="992">
        <f>AE81</f>
        <v>0</v>
      </c>
      <c r="P81" s="1000">
        <f>AI81</f>
        <v>149.82621241440123</v>
      </c>
      <c r="Q81" s="1008">
        <f>AM81</f>
        <v>0</v>
      </c>
      <c r="R81" s="936"/>
      <c r="S81" s="827">
        <f>Locomotives19!$B$17*C81</f>
        <v>126.91313533355485</v>
      </c>
      <c r="T81" s="827">
        <f>(Locomotives19!$B$50/24)*C81</f>
        <v>41.424778068897353</v>
      </c>
      <c r="U81" s="827">
        <v>0</v>
      </c>
      <c r="V81" s="827">
        <f>C81*Locomotives19!$K$44</f>
        <v>223.67505099799257</v>
      </c>
      <c r="W81" s="880">
        <f>SUM(S81:V81)</f>
        <v>392.01296440044479</v>
      </c>
      <c r="X81" s="844"/>
      <c r="Y81" s="830">
        <f>D81*FrtEquip19!$B$16</f>
        <v>71.460367759535131</v>
      </c>
      <c r="Z81" s="831">
        <f>D81*FrtEquip19!$B$51</f>
        <v>83.502032279006144</v>
      </c>
      <c r="AA81" s="881">
        <f>Y81+Z81</f>
        <v>154.96240003854126</v>
      </c>
      <c r="AB81" s="844"/>
      <c r="AC81" s="834">
        <v>0</v>
      </c>
      <c r="AD81" s="835">
        <v>0</v>
      </c>
      <c r="AE81" s="882">
        <f>AC81+AD81</f>
        <v>0</v>
      </c>
      <c r="AF81" s="844"/>
      <c r="AG81" s="838">
        <f>Crew19!$B$11*Crew19!$N$9</f>
        <v>106.0416253198395</v>
      </c>
      <c r="AH81" s="839">
        <f>Crew19!$B$11*Crew19!$N$9*(Crew19!$B$14-1)</f>
        <v>43.784587094561736</v>
      </c>
      <c r="AI81" s="883">
        <f>AG81+AH81</f>
        <v>149.82621241440123</v>
      </c>
      <c r="AJ81" s="844"/>
      <c r="AK81" s="841">
        <v>0</v>
      </c>
      <c r="AL81" s="825">
        <v>0</v>
      </c>
      <c r="AM81" s="884">
        <v>0</v>
      </c>
    </row>
    <row r="82" spans="1:39" ht="4" customHeight="1">
      <c r="A82" s="820"/>
      <c r="B82" s="808"/>
      <c r="C82" s="808"/>
      <c r="D82" s="885"/>
      <c r="E82" s="885"/>
      <c r="F82" s="885"/>
      <c r="G82" s="885"/>
      <c r="H82" s="885"/>
      <c r="I82" s="885"/>
      <c r="J82" s="885"/>
      <c r="K82" s="974"/>
      <c r="L82" s="1031"/>
      <c r="M82" s="980"/>
      <c r="N82" s="987"/>
      <c r="O82" s="995"/>
      <c r="P82" s="1003"/>
      <c r="Q82" s="1011"/>
      <c r="R82" s="937"/>
      <c r="S82" s="885"/>
      <c r="T82" s="885"/>
      <c r="U82" s="885"/>
      <c r="V82" s="885"/>
      <c r="W82" s="885"/>
      <c r="X82" s="885"/>
      <c r="Y82" s="885"/>
      <c r="Z82" s="885"/>
      <c r="AA82" s="885"/>
      <c r="AB82" s="885"/>
      <c r="AC82" s="885"/>
      <c r="AD82" s="885"/>
      <c r="AE82" s="885"/>
      <c r="AF82" s="885"/>
      <c r="AG82" s="885"/>
      <c r="AH82" s="885"/>
      <c r="AI82" s="885"/>
      <c r="AJ82" s="885"/>
      <c r="AK82" s="885"/>
      <c r="AL82" s="885"/>
      <c r="AM82" s="913"/>
    </row>
    <row r="83" spans="1:39">
      <c r="A83" s="864" t="s">
        <v>1784</v>
      </c>
      <c r="B83" s="808"/>
      <c r="C83" s="869">
        <f>Locomotives19!$F$36</f>
        <v>2.8598379334087625</v>
      </c>
      <c r="D83" s="870">
        <f>FreightEquipData!$FB$58</f>
        <v>68.858280433524925</v>
      </c>
      <c r="E83" s="870">
        <f>FreightEquipData!$FC$58</f>
        <v>5537.3533848626294</v>
      </c>
      <c r="F83" s="870">
        <f>FreightEquipData!$FD$58</f>
        <v>2245.9312207160146</v>
      </c>
      <c r="G83" s="870">
        <f>F83/H83</f>
        <v>32.616719537227098</v>
      </c>
      <c r="H83" s="870">
        <f>FreightEquipData!$FE$58</f>
        <v>68.858280433524925</v>
      </c>
      <c r="I83" s="871">
        <v>0</v>
      </c>
      <c r="J83" s="802"/>
      <c r="K83" s="970">
        <f>SUM(M83:Q83)</f>
        <v>1588.9044518318522</v>
      </c>
      <c r="L83" s="1027">
        <f>K83-Q83</f>
        <v>512.72426936715374</v>
      </c>
      <c r="M83" s="1016">
        <f>W83</f>
        <v>193.80437069308005</v>
      </c>
      <c r="N83" s="983">
        <f>AA83</f>
        <v>169.09368625967249</v>
      </c>
      <c r="O83" s="991">
        <f>AE83</f>
        <v>0</v>
      </c>
      <c r="P83" s="999">
        <f>AI83</f>
        <v>149.82621241440123</v>
      </c>
      <c r="Q83" s="1007">
        <f>AM83</f>
        <v>1076.1801824646984</v>
      </c>
      <c r="R83" s="936"/>
      <c r="S83" s="826">
        <f>Locomotives19!$B$17*C83</f>
        <v>126.91313533355485</v>
      </c>
      <c r="T83" s="826">
        <f>(Locomotives19!$B$50/24)*C83</f>
        <v>41.424778068897353</v>
      </c>
      <c r="U83" s="826">
        <f>Locomotives19!$B$46*C83</f>
        <v>25.466457290627822</v>
      </c>
      <c r="V83" s="826">
        <v>0</v>
      </c>
      <c r="W83" s="872">
        <f>SUM(S83:V83)</f>
        <v>193.80437069308005</v>
      </c>
      <c r="X83" s="844"/>
      <c r="Y83" s="828">
        <f>D83*FrtEquip19!$B$16</f>
        <v>77.976960881648182</v>
      </c>
      <c r="Z83" s="829">
        <f>D83*FrtEquip19!$B$51</f>
        <v>91.116725378024313</v>
      </c>
      <c r="AA83" s="873">
        <f>Y83+Z83</f>
        <v>169.09368625967249</v>
      </c>
      <c r="AB83" s="844"/>
      <c r="AC83" s="832">
        <v>0</v>
      </c>
      <c r="AD83" s="833">
        <v>0</v>
      </c>
      <c r="AE83" s="874">
        <f>AC83+AD83</f>
        <v>0</v>
      </c>
      <c r="AF83" s="844"/>
      <c r="AG83" s="836">
        <f>Crew19!$B$11*Crew19!$N$9</f>
        <v>106.0416253198395</v>
      </c>
      <c r="AH83" s="837">
        <f>Crew19!$B$11*Crew19!$N$9*(Crew19!$B$14-1)</f>
        <v>43.784587094561736</v>
      </c>
      <c r="AI83" s="875">
        <f>AG83+AH83</f>
        <v>149.82621241440123</v>
      </c>
      <c r="AJ83" s="844"/>
      <c r="AK83" s="840">
        <f>AM83/F83</f>
        <v>0.47916880647912563</v>
      </c>
      <c r="AL83" s="824">
        <f>AM83/H83</f>
        <v>15.628914571917486</v>
      </c>
      <c r="AM83" s="909">
        <f>FreightEquipData!FF58</f>
        <v>1076.1801824646984</v>
      </c>
    </row>
    <row r="84" spans="1:39">
      <c r="A84" s="866" t="s">
        <v>1785</v>
      </c>
      <c r="B84" s="808"/>
      <c r="C84" s="887">
        <f>Locomotives19!$F$36</f>
        <v>2.8598379334087625</v>
      </c>
      <c r="D84" s="888">
        <f>FreightEquipData!$FB$58</f>
        <v>68.858280433524925</v>
      </c>
      <c r="E84" s="888">
        <f>FreightEquipData!$FC$58</f>
        <v>5537.3533848626294</v>
      </c>
      <c r="F84" s="888">
        <f>FreightEquipData!$FD$58</f>
        <v>2245.9312207160146</v>
      </c>
      <c r="G84" s="888">
        <f>F84/H84</f>
        <v>32.616719537227098</v>
      </c>
      <c r="H84" s="888">
        <f>FreightEquipData!$FE$58</f>
        <v>68.858280433524925</v>
      </c>
      <c r="I84" s="889">
        <v>0</v>
      </c>
      <c r="J84" s="802"/>
      <c r="K84" s="973">
        <f>SUM(M84:Q84)</f>
        <v>1787.113045539217</v>
      </c>
      <c r="L84" s="1030">
        <f>K84-Q84</f>
        <v>710.93286307451854</v>
      </c>
      <c r="M84" s="1018">
        <f>W84</f>
        <v>392.01296440044479</v>
      </c>
      <c r="N84" s="986">
        <f>AA84</f>
        <v>169.09368625967249</v>
      </c>
      <c r="O84" s="994">
        <f>AE84</f>
        <v>0</v>
      </c>
      <c r="P84" s="1002">
        <f>AI84</f>
        <v>149.82621241440123</v>
      </c>
      <c r="Q84" s="1010">
        <f>AM84</f>
        <v>1076.1801824646984</v>
      </c>
      <c r="R84" s="936"/>
      <c r="S84" s="851">
        <f>Locomotives19!$B$17*C84</f>
        <v>126.91313533355485</v>
      </c>
      <c r="T84" s="851">
        <f>(Locomotives19!$B$50/24)*C84</f>
        <v>41.424778068897353</v>
      </c>
      <c r="U84" s="851">
        <v>0</v>
      </c>
      <c r="V84" s="851">
        <f>C84*Locomotives19!$K$44</f>
        <v>223.67505099799257</v>
      </c>
      <c r="W84" s="890">
        <f>SUM(S84:V84)</f>
        <v>392.01296440044479</v>
      </c>
      <c r="X84" s="844"/>
      <c r="Y84" s="849">
        <f>D84*FrtEquip19!$B$16</f>
        <v>77.976960881648182</v>
      </c>
      <c r="Z84" s="850">
        <f>D84*FrtEquip19!$B$51</f>
        <v>91.116725378024313</v>
      </c>
      <c r="AA84" s="891">
        <f>Y84+Z84</f>
        <v>169.09368625967249</v>
      </c>
      <c r="AB84" s="844"/>
      <c r="AC84" s="847">
        <v>0</v>
      </c>
      <c r="AD84" s="848">
        <v>0</v>
      </c>
      <c r="AE84" s="892">
        <f>AC84+AD84</f>
        <v>0</v>
      </c>
      <c r="AF84" s="844"/>
      <c r="AG84" s="845">
        <f>Crew19!$B$11*Crew19!$N$9</f>
        <v>106.0416253198395</v>
      </c>
      <c r="AH84" s="846">
        <f>Crew19!$B$11*Crew19!$N$9*(Crew19!$B$14-1)</f>
        <v>43.784587094561736</v>
      </c>
      <c r="AI84" s="893">
        <f>AG84+AH84</f>
        <v>149.82621241440123</v>
      </c>
      <c r="AJ84" s="844"/>
      <c r="AK84" s="842">
        <f>AM84/F84</f>
        <v>0.47916880647912563</v>
      </c>
      <c r="AL84" s="843">
        <f>AM84/H84</f>
        <v>15.628914571917486</v>
      </c>
      <c r="AM84" s="914">
        <f>FreightEquipData!FF58</f>
        <v>1076.1801824646984</v>
      </c>
    </row>
    <row r="85" spans="1:39">
      <c r="A85" s="866" t="s">
        <v>1786</v>
      </c>
      <c r="B85" s="808"/>
      <c r="C85" s="887">
        <f>Locomotives19!$F$36</f>
        <v>2.8598379334087625</v>
      </c>
      <c r="D85" s="888">
        <f>FreightEquipData!$FB$58</f>
        <v>68.858280433524925</v>
      </c>
      <c r="E85" s="888">
        <f>FreightEquipData!$FC$58</f>
        <v>5537.3533848626294</v>
      </c>
      <c r="F85" s="888">
        <v>0</v>
      </c>
      <c r="G85" s="888">
        <v>0</v>
      </c>
      <c r="H85" s="888">
        <v>0</v>
      </c>
      <c r="I85" s="889">
        <v>0</v>
      </c>
      <c r="J85" s="802"/>
      <c r="K85" s="973">
        <f>SUM(M85:Q85)</f>
        <v>512.72426936715374</v>
      </c>
      <c r="L85" s="1030">
        <f>K85-Q85</f>
        <v>512.72426936715374</v>
      </c>
      <c r="M85" s="1018">
        <f>W85</f>
        <v>193.80437069308005</v>
      </c>
      <c r="N85" s="986">
        <f>AA85</f>
        <v>169.09368625967249</v>
      </c>
      <c r="O85" s="994">
        <f>AE85</f>
        <v>0</v>
      </c>
      <c r="P85" s="1002">
        <f>AI85</f>
        <v>149.82621241440123</v>
      </c>
      <c r="Q85" s="1010">
        <f>AM85</f>
        <v>0</v>
      </c>
      <c r="R85" s="936"/>
      <c r="S85" s="851">
        <f>Locomotives19!$B$17*C85</f>
        <v>126.91313533355485</v>
      </c>
      <c r="T85" s="851">
        <f>(Locomotives19!$B$50/24)*C85</f>
        <v>41.424778068897353</v>
      </c>
      <c r="U85" s="851">
        <f>Locomotives19!$B$46*C85</f>
        <v>25.466457290627822</v>
      </c>
      <c r="V85" s="851">
        <v>0</v>
      </c>
      <c r="W85" s="890">
        <f>SUM(S85:V85)</f>
        <v>193.80437069308005</v>
      </c>
      <c r="X85" s="844"/>
      <c r="Y85" s="849">
        <f>D85*FrtEquip19!$B$16</f>
        <v>77.976960881648182</v>
      </c>
      <c r="Z85" s="850">
        <f>D85*FrtEquip19!$B$51</f>
        <v>91.116725378024313</v>
      </c>
      <c r="AA85" s="891">
        <f>Y85+Z85</f>
        <v>169.09368625967249</v>
      </c>
      <c r="AB85" s="844"/>
      <c r="AC85" s="847">
        <v>0</v>
      </c>
      <c r="AD85" s="848">
        <v>0</v>
      </c>
      <c r="AE85" s="892">
        <f>AC85+AD85</f>
        <v>0</v>
      </c>
      <c r="AF85" s="844"/>
      <c r="AG85" s="845">
        <f>Crew19!$B$11*Crew19!$N$9</f>
        <v>106.0416253198395</v>
      </c>
      <c r="AH85" s="846">
        <f>Crew19!$B$11*Crew19!$N$9*(Crew19!$B$14-1)</f>
        <v>43.784587094561736</v>
      </c>
      <c r="AI85" s="893">
        <f>AG85+AH85</f>
        <v>149.82621241440123</v>
      </c>
      <c r="AJ85" s="844"/>
      <c r="AK85" s="842">
        <v>0</v>
      </c>
      <c r="AL85" s="843">
        <v>0</v>
      </c>
      <c r="AM85" s="894">
        <v>0</v>
      </c>
    </row>
    <row r="86" spans="1:39" ht="17" thickBot="1">
      <c r="A86" s="867" t="s">
        <v>1787</v>
      </c>
      <c r="B86" s="817"/>
      <c r="C86" s="895">
        <f>Locomotives19!$F$36</f>
        <v>2.8598379334087625</v>
      </c>
      <c r="D86" s="896">
        <f>FreightEquipData!$FB$58</f>
        <v>68.858280433524925</v>
      </c>
      <c r="E86" s="896">
        <f>FreightEquipData!$FC$58</f>
        <v>5537.3533848626294</v>
      </c>
      <c r="F86" s="896">
        <v>0</v>
      </c>
      <c r="G86" s="896">
        <v>0</v>
      </c>
      <c r="H86" s="896">
        <v>0</v>
      </c>
      <c r="I86" s="897">
        <v>0</v>
      </c>
      <c r="J86" s="818"/>
      <c r="K86" s="975">
        <f>SUM(M86:Q86)</f>
        <v>710.93286307451854</v>
      </c>
      <c r="L86" s="1032">
        <f>K86-Q86</f>
        <v>710.93286307451854</v>
      </c>
      <c r="M86" s="1019">
        <f>W86</f>
        <v>392.01296440044479</v>
      </c>
      <c r="N86" s="988">
        <f>AA86</f>
        <v>169.09368625967249</v>
      </c>
      <c r="O86" s="996">
        <f>AE86</f>
        <v>0</v>
      </c>
      <c r="P86" s="1004">
        <f>AI86</f>
        <v>149.82621241440123</v>
      </c>
      <c r="Q86" s="1013">
        <f>AM86</f>
        <v>0</v>
      </c>
      <c r="R86" s="938"/>
      <c r="S86" s="854">
        <f>Locomotives19!$B$17*C86</f>
        <v>126.91313533355485</v>
      </c>
      <c r="T86" s="854">
        <f>(Locomotives19!$B$50/24)*C86</f>
        <v>41.424778068897353</v>
      </c>
      <c r="U86" s="854">
        <v>0</v>
      </c>
      <c r="V86" s="854">
        <f>C86*Locomotives19!$K$44</f>
        <v>223.67505099799257</v>
      </c>
      <c r="W86" s="898">
        <f>SUM(S86:V86)</f>
        <v>392.01296440044479</v>
      </c>
      <c r="X86" s="855"/>
      <c r="Y86" s="856">
        <f>D86*FrtEquip19!$B$16</f>
        <v>77.976960881648182</v>
      </c>
      <c r="Z86" s="857">
        <f>D86*FrtEquip19!$B$51</f>
        <v>91.116725378024313</v>
      </c>
      <c r="AA86" s="899">
        <f>Y86+Z86</f>
        <v>169.09368625967249</v>
      </c>
      <c r="AB86" s="855"/>
      <c r="AC86" s="858">
        <v>0</v>
      </c>
      <c r="AD86" s="859">
        <v>0</v>
      </c>
      <c r="AE86" s="900">
        <f>AC86+AD86</f>
        <v>0</v>
      </c>
      <c r="AF86" s="855"/>
      <c r="AG86" s="860">
        <f>Crew19!$B$11*Crew19!$N$9</f>
        <v>106.0416253198395</v>
      </c>
      <c r="AH86" s="861">
        <f>Crew19!$B$11*Crew19!$N$9*(Crew19!$B$14-1)</f>
        <v>43.784587094561736</v>
      </c>
      <c r="AI86" s="901">
        <f>AG86+AH86</f>
        <v>149.82621241440123</v>
      </c>
      <c r="AJ86" s="855"/>
      <c r="AK86" s="862">
        <v>0</v>
      </c>
      <c r="AL86" s="863">
        <v>0</v>
      </c>
      <c r="AM86" s="902">
        <v>0</v>
      </c>
    </row>
    <row r="88" spans="1:39">
      <c r="L88" s="790"/>
    </row>
    <row r="89" spans="1:39">
      <c r="L89" s="790"/>
    </row>
  </sheetData>
  <mergeCells count="12">
    <mergeCell ref="AG6:AI6"/>
    <mergeCell ref="AK6:AM6"/>
    <mergeCell ref="K6:Q6"/>
    <mergeCell ref="C6:I6"/>
    <mergeCell ref="S6:W6"/>
    <mergeCell ref="Y6:AA6"/>
    <mergeCell ref="AC6:AE6"/>
    <mergeCell ref="A1:Q1"/>
    <mergeCell ref="A3:Q3"/>
    <mergeCell ref="A2:Q2"/>
    <mergeCell ref="S1:AM1"/>
    <mergeCell ref="A4:Q4"/>
  </mergeCells>
  <pageMargins left="0.25" right="0.25" top="0.75" bottom="0.75" header="0.3" footer="0.3"/>
  <pageSetup scale="6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AD93-B073-EE4F-8948-DDBDB804A1B5}">
  <sheetPr>
    <tabColor theme="6" tint="-0.499984740745262"/>
  </sheetPr>
  <dimension ref="A1:Z157"/>
  <sheetViews>
    <sheetView topLeftCell="A8" workbookViewId="0">
      <selection activeCell="C14" sqref="C14"/>
    </sheetView>
  </sheetViews>
  <sheetFormatPr baseColWidth="10" defaultRowHeight="16"/>
  <cols>
    <col min="1" max="1" width="20.5" bestFit="1" customWidth="1"/>
    <col min="2" max="2" width="12.5" bestFit="1" customWidth="1"/>
    <col min="3" max="3" width="14" bestFit="1" customWidth="1"/>
    <col min="4" max="4" width="15" bestFit="1" customWidth="1"/>
    <col min="5" max="17" width="18.1640625" customWidth="1"/>
    <col min="18" max="18" width="19.33203125" bestFit="1" customWidth="1"/>
    <col min="19" max="21" width="18.1640625" customWidth="1"/>
    <col min="25" max="25" width="13" bestFit="1" customWidth="1"/>
  </cols>
  <sheetData>
    <row r="1" spans="1:26"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</row>
    <row r="2" spans="1:26"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</row>
    <row r="3" spans="1:26"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</row>
    <row r="4" spans="1:26" s="454" customFormat="1">
      <c r="G4" s="952"/>
      <c r="H4" s="952"/>
      <c r="I4" s="952"/>
      <c r="J4" s="952"/>
      <c r="K4" s="952"/>
      <c r="L4" s="952"/>
      <c r="M4" s="952"/>
      <c r="N4" s="952"/>
      <c r="O4" s="952"/>
      <c r="P4" s="952"/>
      <c r="Q4" s="952"/>
      <c r="R4" s="952"/>
    </row>
    <row r="5" spans="1:26" s="454" customFormat="1"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  <c r="S5" s="952"/>
      <c r="Z5" s="454" t="s">
        <v>1</v>
      </c>
    </row>
    <row r="6" spans="1:26" s="454" customFormat="1">
      <c r="A6" s="952"/>
      <c r="B6" s="952"/>
      <c r="C6" s="952"/>
      <c r="D6" s="952"/>
      <c r="E6" s="952"/>
      <c r="G6" s="952"/>
      <c r="H6" s="952"/>
      <c r="I6" s="952"/>
      <c r="J6" s="952"/>
      <c r="K6" s="952"/>
      <c r="L6" s="952"/>
      <c r="M6" s="952"/>
      <c r="Q6" s="454" t="s">
        <v>575</v>
      </c>
      <c r="Z6" s="454" t="s">
        <v>1827</v>
      </c>
    </row>
    <row r="7" spans="1:26" s="454" customFormat="1">
      <c r="A7" s="952"/>
      <c r="B7" s="952"/>
      <c r="C7" s="952"/>
      <c r="D7" s="952"/>
      <c r="E7" s="952" t="s">
        <v>575</v>
      </c>
      <c r="F7" s="952" t="s">
        <v>26</v>
      </c>
      <c r="G7" s="940" t="s">
        <v>1830</v>
      </c>
      <c r="H7" s="952"/>
      <c r="I7" s="952"/>
      <c r="J7" s="952" t="s">
        <v>283</v>
      </c>
      <c r="K7" s="952"/>
      <c r="L7" s="940" t="s">
        <v>353</v>
      </c>
      <c r="M7" s="952"/>
      <c r="P7" s="454" t="s">
        <v>26</v>
      </c>
      <c r="Q7" s="454" t="s">
        <v>1849</v>
      </c>
      <c r="Z7" s="940" t="s">
        <v>1859</v>
      </c>
    </row>
    <row r="8" spans="1:26" s="454" customFormat="1">
      <c r="A8" s="952"/>
      <c r="B8" s="940"/>
      <c r="C8" s="940" t="s">
        <v>26</v>
      </c>
      <c r="D8" s="940" t="s">
        <v>306</v>
      </c>
      <c r="E8" s="940" t="s">
        <v>1853</v>
      </c>
      <c r="F8" s="952" t="s">
        <v>1854</v>
      </c>
      <c r="G8" s="940" t="s">
        <v>1831</v>
      </c>
      <c r="H8" s="940" t="s">
        <v>679</v>
      </c>
      <c r="I8" s="940" t="s">
        <v>1838</v>
      </c>
      <c r="J8" s="940" t="s">
        <v>306</v>
      </c>
      <c r="K8" s="940"/>
      <c r="L8" s="940" t="s">
        <v>1855</v>
      </c>
      <c r="M8" s="940" t="s">
        <v>33</v>
      </c>
      <c r="N8" s="940" t="s">
        <v>37</v>
      </c>
      <c r="O8" s="940" t="s">
        <v>1</v>
      </c>
      <c r="P8" s="940" t="s">
        <v>235</v>
      </c>
      <c r="Q8" s="940" t="s">
        <v>1850</v>
      </c>
      <c r="R8" s="940" t="s">
        <v>283</v>
      </c>
      <c r="S8" s="940" t="s">
        <v>678</v>
      </c>
      <c r="T8" s="940" t="s">
        <v>306</v>
      </c>
      <c r="U8" s="940" t="s">
        <v>1846</v>
      </c>
      <c r="V8" s="940" t="s">
        <v>1846</v>
      </c>
      <c r="W8" s="940" t="s">
        <v>1844</v>
      </c>
      <c r="X8" s="940" t="s">
        <v>1857</v>
      </c>
      <c r="Y8" s="940" t="s">
        <v>1</v>
      </c>
      <c r="Z8" s="940" t="s">
        <v>1861</v>
      </c>
    </row>
    <row r="9" spans="1:26" s="454" customFormat="1">
      <c r="A9" s="952"/>
      <c r="B9" s="940"/>
      <c r="C9" s="940" t="s">
        <v>1828</v>
      </c>
      <c r="D9" s="940" t="s">
        <v>1829</v>
      </c>
      <c r="E9" s="940" t="s">
        <v>1830</v>
      </c>
      <c r="F9" s="940" t="s">
        <v>1853</v>
      </c>
      <c r="G9" s="940" t="s">
        <v>1841</v>
      </c>
      <c r="H9" s="940" t="s">
        <v>306</v>
      </c>
      <c r="I9" s="940" t="s">
        <v>306</v>
      </c>
      <c r="J9" s="940" t="s">
        <v>678</v>
      </c>
      <c r="K9" s="940" t="s">
        <v>1831</v>
      </c>
      <c r="L9" s="940" t="s">
        <v>1836</v>
      </c>
      <c r="M9" s="940" t="s">
        <v>1832</v>
      </c>
      <c r="N9" s="940" t="s">
        <v>1841</v>
      </c>
      <c r="O9" s="940" t="s">
        <v>1848</v>
      </c>
      <c r="P9" s="940" t="s">
        <v>1841</v>
      </c>
      <c r="Q9" s="940" t="s">
        <v>1851</v>
      </c>
      <c r="R9" s="940" t="s">
        <v>1827</v>
      </c>
      <c r="S9" s="940" t="s">
        <v>1841</v>
      </c>
      <c r="T9" s="940" t="s">
        <v>1842</v>
      </c>
      <c r="U9" s="940" t="s">
        <v>679</v>
      </c>
      <c r="V9" s="940" t="s">
        <v>1838</v>
      </c>
      <c r="W9" s="940" t="s">
        <v>1845</v>
      </c>
      <c r="X9" s="940" t="s">
        <v>1858</v>
      </c>
      <c r="Y9" s="940" t="s">
        <v>1827</v>
      </c>
      <c r="Z9" s="940" t="s">
        <v>1832</v>
      </c>
    </row>
    <row r="10" spans="1:26" s="454" customFormat="1">
      <c r="A10" s="941" t="s">
        <v>1698</v>
      </c>
      <c r="B10" s="940" t="s">
        <v>206</v>
      </c>
      <c r="C10" s="940" t="s">
        <v>1833</v>
      </c>
      <c r="D10" s="940" t="s">
        <v>1833</v>
      </c>
      <c r="E10" s="940" t="s">
        <v>1831</v>
      </c>
      <c r="F10" s="940" t="s">
        <v>1826</v>
      </c>
      <c r="G10" s="940" t="s">
        <v>1852</v>
      </c>
      <c r="H10" s="940" t="s">
        <v>1834</v>
      </c>
      <c r="I10" s="940" t="s">
        <v>1834</v>
      </c>
      <c r="J10" s="940" t="s">
        <v>1839</v>
      </c>
      <c r="K10" s="940" t="s">
        <v>1835</v>
      </c>
      <c r="L10" s="940" t="s">
        <v>1856</v>
      </c>
      <c r="M10" s="940" t="s">
        <v>1836</v>
      </c>
      <c r="N10" s="940" t="s">
        <v>1827</v>
      </c>
      <c r="O10" s="940" t="s">
        <v>37</v>
      </c>
      <c r="P10" s="940" t="s">
        <v>1827</v>
      </c>
      <c r="Q10" s="940" t="s">
        <v>1827</v>
      </c>
      <c r="R10" s="940" t="s">
        <v>235</v>
      </c>
      <c r="S10" s="940" t="s">
        <v>1827</v>
      </c>
      <c r="T10" s="940" t="s">
        <v>1843</v>
      </c>
      <c r="U10" s="940" t="s">
        <v>1842</v>
      </c>
      <c r="V10" s="940" t="s">
        <v>1842</v>
      </c>
      <c r="W10" s="940" t="s">
        <v>1839</v>
      </c>
      <c r="X10" s="940" t="s">
        <v>1843</v>
      </c>
      <c r="Y10" s="940" t="s">
        <v>1860</v>
      </c>
      <c r="Z10" s="454" t="s">
        <v>1862</v>
      </c>
    </row>
    <row r="11" spans="1:26" ht="19" customHeight="1">
      <c r="A11" s="941" t="s">
        <v>1828</v>
      </c>
      <c r="B11" s="958">
        <f>I33</f>
        <v>114388716</v>
      </c>
      <c r="C11" s="958">
        <f>I39</f>
        <v>355311155</v>
      </c>
      <c r="D11" s="958">
        <f>I116</f>
        <v>12455233000</v>
      </c>
      <c r="E11" s="958">
        <f>I122</f>
        <v>1082548746000</v>
      </c>
      <c r="F11" s="958">
        <f>(P11*B11)+E11</f>
        <v>1155997286854.1387</v>
      </c>
      <c r="G11" s="958"/>
      <c r="H11" s="958">
        <f>I143</f>
        <v>10418656</v>
      </c>
      <c r="I11" s="958">
        <f>H11*(FreightEquipData!EJ20/FreightEquipData!EJ10)</f>
        <v>10615891.166721743</v>
      </c>
      <c r="J11" s="958">
        <f>H11+I11</f>
        <v>21034547.166721743</v>
      </c>
      <c r="K11" s="957"/>
      <c r="L11" s="957"/>
      <c r="M11" s="957"/>
      <c r="N11" s="959">
        <f>C11/B11</f>
        <v>3.1061731211319832</v>
      </c>
      <c r="O11" s="960"/>
      <c r="P11" s="960">
        <f>N11*$O$14</f>
        <v>642.09603379181863</v>
      </c>
      <c r="Q11" s="960">
        <f>E11/B11</f>
        <v>9463.7721608834217</v>
      </c>
      <c r="R11" s="960">
        <f>Q11+P11</f>
        <v>10105.86819467524</v>
      </c>
      <c r="S11" s="960">
        <f>D11/B11</f>
        <v>108.88515437134551</v>
      </c>
      <c r="T11" s="961">
        <f>J11/S11</f>
        <v>193181.03820640995</v>
      </c>
      <c r="U11" s="961">
        <f>T11*(H11/J11)</f>
        <v>95684.816356763142</v>
      </c>
      <c r="V11" s="961">
        <f>T11-U11</f>
        <v>97496.221849646812</v>
      </c>
      <c r="W11" s="962">
        <f>B11/T11</f>
        <v>592.13221474551767</v>
      </c>
    </row>
    <row r="12" spans="1:26">
      <c r="A12" s="941" t="s">
        <v>1695</v>
      </c>
      <c r="B12" s="958">
        <f t="shared" ref="B12:B13" si="0">I34</f>
        <v>45331905</v>
      </c>
      <c r="C12" s="958">
        <f t="shared" ref="C12:C13" si="1">I40</f>
        <v>82006516</v>
      </c>
      <c r="D12" s="958">
        <f t="shared" ref="D12:D13" si="2">I117</f>
        <v>1265597000</v>
      </c>
      <c r="E12" s="958">
        <f t="shared" ref="E12:E13" si="3">I123</f>
        <v>103928927000</v>
      </c>
      <c r="F12" s="958">
        <f>(P12*B12)+E12</f>
        <v>120880995225.19147</v>
      </c>
      <c r="G12" s="958"/>
      <c r="H12" s="958">
        <f t="shared" ref="H12:H13" si="4">I144</f>
        <v>15704476</v>
      </c>
      <c r="I12" s="958">
        <f>H12*(FreightEquipData!FE17/FreightEquipData!FE16)</f>
        <v>14487779.89214362</v>
      </c>
      <c r="J12" s="958">
        <f t="shared" ref="J12:J14" si="5">H12+I12</f>
        <v>30192255.892143622</v>
      </c>
      <c r="K12" s="957"/>
      <c r="L12" s="957"/>
      <c r="M12" s="958">
        <f>I139</f>
        <v>2602155</v>
      </c>
      <c r="N12" s="959">
        <f>C12/B12</f>
        <v>1.8090242622717929</v>
      </c>
      <c r="O12" s="960"/>
      <c r="P12" s="960">
        <f>N12*$O$14</f>
        <v>373.95446375332062</v>
      </c>
      <c r="Q12" s="960">
        <f>E12/B12</f>
        <v>2292.6220947476177</v>
      </c>
      <c r="R12" s="960">
        <f t="shared" ref="R12:R14" si="6">Q12+P12</f>
        <v>2666.5765585009385</v>
      </c>
      <c r="S12" s="960">
        <f>D12/B12</f>
        <v>27.918460519142091</v>
      </c>
      <c r="T12" s="961">
        <f>J12/S12</f>
        <v>1081444.153105882</v>
      </c>
      <c r="U12" s="961">
        <f>T12*(H12/J12)</f>
        <v>562512.24845411291</v>
      </c>
      <c r="V12" s="961">
        <f t="shared" ref="V12:V14" si="7">T12-U12</f>
        <v>518931.90465176909</v>
      </c>
      <c r="W12" s="962">
        <f>B12/T12</f>
        <v>41.917934337901634</v>
      </c>
    </row>
    <row r="13" spans="1:26">
      <c r="A13" s="941" t="s">
        <v>1837</v>
      </c>
      <c r="B13" s="958">
        <f t="shared" si="0"/>
        <v>284889314</v>
      </c>
      <c r="C13" s="958">
        <f t="shared" si="1"/>
        <v>814737267</v>
      </c>
      <c r="D13" s="958">
        <f t="shared" si="2"/>
        <v>19521160000</v>
      </c>
      <c r="E13" s="958">
        <f t="shared" si="3"/>
        <v>1823178721000</v>
      </c>
      <c r="F13" s="958">
        <f>(P13*B13)+E13</f>
        <v>1991598041920.6699</v>
      </c>
      <c r="G13" s="958"/>
      <c r="H13" s="958">
        <f t="shared" si="4"/>
        <v>28069576</v>
      </c>
      <c r="I13" s="958">
        <f>H13*(FreightEquipData!ES19/FreightEquipData!ES18)</f>
        <v>21252303.598642599</v>
      </c>
      <c r="J13" s="958">
        <f t="shared" si="5"/>
        <v>49321879.598642603</v>
      </c>
      <c r="K13" s="957"/>
      <c r="L13" s="957"/>
      <c r="M13" s="957"/>
      <c r="N13" s="959">
        <f>C13/B13</f>
        <v>2.8598379334087625</v>
      </c>
      <c r="O13" s="960"/>
      <c r="P13" s="960">
        <f>N13*$O$14</f>
        <v>591.17458129956321</v>
      </c>
      <c r="Q13" s="960">
        <f>E13/B13</f>
        <v>6399.6037457550974</v>
      </c>
      <c r="R13" s="960">
        <f t="shared" si="6"/>
        <v>6990.7783270546606</v>
      </c>
      <c r="S13" s="960">
        <f>D13/B13</f>
        <v>68.521910232126146</v>
      </c>
      <c r="T13" s="961">
        <f>J13/S13</f>
        <v>719797.20693072991</v>
      </c>
      <c r="U13" s="961">
        <f>T13*(H13/J13)</f>
        <v>409643.80451319827</v>
      </c>
      <c r="V13" s="961">
        <f t="shared" si="7"/>
        <v>310153.40241753164</v>
      </c>
      <c r="W13" s="962">
        <f>B13/T13</f>
        <v>395.7910801221218</v>
      </c>
    </row>
    <row r="14" spans="1:26">
      <c r="A14" s="941" t="s">
        <v>283</v>
      </c>
      <c r="B14" s="963">
        <f>SUM(B11:B13)</f>
        <v>444609935</v>
      </c>
      <c r="C14" s="963">
        <f>SUM(C11:C13)</f>
        <v>1252054938</v>
      </c>
      <c r="D14" s="963">
        <f>SUM(D11:D13)</f>
        <v>33241990000</v>
      </c>
      <c r="E14" s="963">
        <f>SUM(E11:E13)</f>
        <v>3009656394000</v>
      </c>
      <c r="F14" s="963">
        <f>(P14*B14)+E14</f>
        <v>3268476324000</v>
      </c>
      <c r="G14" s="963">
        <f>F14/L14</f>
        <v>135739.60780874069</v>
      </c>
      <c r="H14" s="963">
        <f>SUM(H11:H13)</f>
        <v>54192708</v>
      </c>
      <c r="I14" s="963">
        <f>SUM(I11:I13)</f>
        <v>46355974.657507956</v>
      </c>
      <c r="J14" s="963">
        <f t="shared" si="5"/>
        <v>100548682.65750796</v>
      </c>
      <c r="K14" s="963">
        <f>I133</f>
        <v>1614498425000</v>
      </c>
      <c r="L14" s="963">
        <f>I138</f>
        <v>24079017</v>
      </c>
      <c r="M14" s="963">
        <f>I139</f>
        <v>2602155</v>
      </c>
      <c r="N14" s="964">
        <f>C14/B14</f>
        <v>2.8160750344006593</v>
      </c>
      <c r="O14" s="965">
        <f>E15/C14</f>
        <v>206.71611296340737</v>
      </c>
      <c r="P14" s="965">
        <f>N14*$O$14</f>
        <v>582.12808492459794</v>
      </c>
      <c r="Q14" s="965">
        <f>E14/B14</f>
        <v>6769.2063471321217</v>
      </c>
      <c r="R14" s="965">
        <f t="shared" si="6"/>
        <v>7351.3344320567194</v>
      </c>
      <c r="S14" s="965">
        <f>D14/B14</f>
        <v>74.766637862017191</v>
      </c>
      <c r="T14" s="966">
        <f>J14/S14</f>
        <v>1344833.5451845764</v>
      </c>
      <c r="U14" s="961">
        <f>T14*(H14/J14)</f>
        <v>724824.728644524</v>
      </c>
      <c r="V14" s="961">
        <f t="shared" si="7"/>
        <v>620008.81654005242</v>
      </c>
      <c r="W14" s="967">
        <f>B14/T14</f>
        <v>330.60592263779228</v>
      </c>
      <c r="X14" s="969">
        <f>L14/T14</f>
        <v>17.904830739997038</v>
      </c>
      <c r="Y14" s="969">
        <f>B14/L14</f>
        <v>18.464621500121869</v>
      </c>
      <c r="Z14" s="969">
        <f>B14/(L14-M14)</f>
        <v>20.701810860450657</v>
      </c>
    </row>
    <row r="15" spans="1:26">
      <c r="A15" s="941" t="s">
        <v>37</v>
      </c>
      <c r="B15" s="957"/>
      <c r="C15" s="957"/>
      <c r="D15" s="957"/>
      <c r="E15" s="958">
        <f>I121</f>
        <v>258819930000</v>
      </c>
      <c r="F15" s="958"/>
      <c r="G15" s="958"/>
      <c r="H15" s="957"/>
      <c r="I15" s="957"/>
      <c r="J15" s="957"/>
      <c r="K15" s="957"/>
      <c r="L15" s="957"/>
      <c r="M15" s="957"/>
      <c r="N15" s="289"/>
      <c r="O15" s="289"/>
      <c r="P15" s="289"/>
      <c r="Q15" s="289"/>
      <c r="R15" s="289"/>
      <c r="S15" s="289"/>
      <c r="T15" s="289"/>
      <c r="U15" s="289"/>
      <c r="V15" s="289"/>
      <c r="W15" s="289"/>
    </row>
    <row r="16" spans="1:26">
      <c r="A16" s="941"/>
      <c r="B16" s="957"/>
      <c r="C16" s="957"/>
      <c r="D16" s="957"/>
      <c r="E16" s="958"/>
      <c r="F16" s="958"/>
      <c r="G16" s="958"/>
      <c r="H16" s="957"/>
      <c r="I16" s="957"/>
      <c r="J16" s="957"/>
      <c r="K16" s="957"/>
      <c r="L16" s="957"/>
      <c r="M16" s="957"/>
      <c r="N16" s="289"/>
      <c r="O16" s="289"/>
      <c r="P16" s="289"/>
      <c r="Q16" s="289"/>
      <c r="R16" s="289"/>
      <c r="S16" s="289"/>
      <c r="T16" s="968"/>
      <c r="U16" s="289"/>
      <c r="V16" s="289"/>
      <c r="W16" s="289"/>
    </row>
    <row r="17" spans="1:22" ht="19">
      <c r="B17" s="953"/>
      <c r="C17" s="954"/>
      <c r="D17" s="954"/>
      <c r="E17" s="953"/>
      <c r="F17" s="953"/>
      <c r="G17" s="953"/>
      <c r="H17" s="954"/>
      <c r="I17" s="954"/>
      <c r="J17" s="954"/>
      <c r="K17" s="953"/>
      <c r="L17" s="954"/>
      <c r="M17" s="954"/>
      <c r="N17" s="954"/>
      <c r="O17" s="953"/>
      <c r="P17" s="954"/>
      <c r="Q17" s="954"/>
      <c r="R17" s="941" t="s">
        <v>1847</v>
      </c>
      <c r="S17" s="955" t="s">
        <v>1828</v>
      </c>
      <c r="T17" s="950">
        <f>T11/365</f>
        <v>529.26311837372589</v>
      </c>
      <c r="U17" s="950">
        <f t="shared" ref="U17:V17" si="8">U11/365</f>
        <v>262.15018179935106</v>
      </c>
      <c r="V17" s="950">
        <f t="shared" si="8"/>
        <v>267.11293657437483</v>
      </c>
    </row>
    <row r="18" spans="1:22">
      <c r="A18" s="595"/>
      <c r="B18" s="595"/>
      <c r="C18" s="595"/>
      <c r="D18" s="595"/>
      <c r="E18" s="595"/>
      <c r="F18" s="595"/>
      <c r="G18" s="595"/>
      <c r="H18" s="595"/>
      <c r="I18" s="595"/>
      <c r="J18" s="595"/>
      <c r="K18" s="595"/>
      <c r="L18" s="595"/>
      <c r="M18" s="595"/>
      <c r="S18" s="598" t="s">
        <v>1695</v>
      </c>
      <c r="T18" s="950">
        <f t="shared" ref="T18:V18" si="9">T12/365</f>
        <v>2962.8606934407726</v>
      </c>
      <c r="U18" s="950">
        <f t="shared" si="9"/>
        <v>1541.1294478194875</v>
      </c>
      <c r="V18" s="950">
        <f t="shared" si="9"/>
        <v>1421.7312456212851</v>
      </c>
    </row>
    <row r="19" spans="1:22">
      <c r="A19" s="595"/>
      <c r="B19" s="595"/>
      <c r="C19" s="595"/>
      <c r="D19" s="595"/>
      <c r="E19" s="595">
        <f>E15/C14</f>
        <v>206.71611296340737</v>
      </c>
      <c r="F19" s="595"/>
      <c r="G19" s="595"/>
      <c r="H19" s="595"/>
      <c r="I19" s="595"/>
      <c r="J19" s="595"/>
      <c r="K19" s="595"/>
      <c r="L19" s="595"/>
      <c r="M19" s="595"/>
      <c r="S19" s="549" t="s">
        <v>1837</v>
      </c>
      <c r="T19" s="956">
        <f t="shared" ref="T19:V19" si="10">T13/365</f>
        <v>1972.0471422759724</v>
      </c>
      <c r="U19" s="956">
        <f t="shared" si="10"/>
        <v>1122.3117931868446</v>
      </c>
      <c r="V19" s="956">
        <f t="shared" si="10"/>
        <v>849.73534908912779</v>
      </c>
    </row>
    <row r="20" spans="1:22">
      <c r="A20" s="595"/>
      <c r="B20" s="595"/>
      <c r="C20" s="595"/>
      <c r="D20" s="595"/>
      <c r="E20" s="595"/>
      <c r="F20" s="595"/>
      <c r="G20" s="595"/>
      <c r="H20" s="595"/>
      <c r="I20" s="595"/>
      <c r="J20" s="595"/>
      <c r="K20" s="595"/>
      <c r="L20" s="595"/>
      <c r="M20" s="595"/>
      <c r="S20" s="598" t="s">
        <v>283</v>
      </c>
      <c r="T20" s="950">
        <f t="shared" ref="T20:V20" si="11">T14/365</f>
        <v>3684.4754662591135</v>
      </c>
      <c r="U20" s="950">
        <f t="shared" si="11"/>
        <v>1985.821174368559</v>
      </c>
      <c r="V20" s="950">
        <f t="shared" si="11"/>
        <v>1698.6542918905545</v>
      </c>
    </row>
    <row r="21" spans="1:22">
      <c r="A21" s="595"/>
      <c r="B21" s="595"/>
      <c r="C21" s="595"/>
      <c r="D21" s="595"/>
      <c r="E21" s="595">
        <f>E11/D11</f>
        <v>86.915174208302645</v>
      </c>
      <c r="F21" s="595"/>
      <c r="G21" s="595"/>
      <c r="H21" s="595"/>
      <c r="I21" s="595"/>
      <c r="J21" s="595"/>
      <c r="K21" s="595"/>
      <c r="L21" s="595"/>
      <c r="M21" s="595"/>
      <c r="N21" s="595"/>
      <c r="O21" s="595"/>
      <c r="P21" s="595"/>
      <c r="Q21" s="595"/>
      <c r="R21" s="595"/>
    </row>
    <row r="22" spans="1:22">
      <c r="A22" s="595"/>
      <c r="B22" s="595"/>
      <c r="C22" s="595"/>
      <c r="D22" s="595"/>
      <c r="E22" s="595"/>
      <c r="F22" s="595"/>
      <c r="G22" s="595"/>
      <c r="H22" s="595"/>
      <c r="I22" s="595"/>
      <c r="J22" s="595"/>
      <c r="K22" s="595"/>
      <c r="L22" s="595"/>
      <c r="M22" s="595"/>
      <c r="N22" s="595"/>
      <c r="O22" s="595"/>
      <c r="P22" s="595"/>
      <c r="Q22" s="595"/>
      <c r="R22" s="595"/>
    </row>
    <row r="23" spans="1:22">
      <c r="A23" s="595"/>
      <c r="B23" s="595"/>
      <c r="C23" s="595"/>
      <c r="D23" s="595"/>
      <c r="E23" s="595"/>
      <c r="F23" s="595"/>
      <c r="G23" s="595"/>
      <c r="H23" s="595"/>
      <c r="I23" s="595"/>
      <c r="J23" s="595"/>
      <c r="K23" s="595"/>
      <c r="L23" s="595"/>
      <c r="M23" s="595"/>
      <c r="N23" s="595"/>
      <c r="O23" s="595"/>
      <c r="P23" s="595"/>
      <c r="Q23" s="595"/>
      <c r="R23" s="595"/>
    </row>
    <row r="24" spans="1:22">
      <c r="A24" s="595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</row>
    <row r="25" spans="1:22">
      <c r="A25" s="595"/>
      <c r="B25" s="595"/>
      <c r="C25" s="595"/>
      <c r="D25" s="595"/>
      <c r="E25" s="595"/>
      <c r="F25" s="595"/>
      <c r="G25" s="595"/>
      <c r="H25" s="595"/>
      <c r="I25" s="595"/>
      <c r="J25" s="595"/>
      <c r="K25" s="595"/>
      <c r="L25" s="595"/>
      <c r="M25" s="595"/>
      <c r="N25" s="595"/>
      <c r="O25" s="595"/>
      <c r="P25" s="595"/>
      <c r="Q25" s="595"/>
      <c r="R25" s="595"/>
    </row>
    <row r="26" spans="1:22">
      <c r="A26" s="595"/>
      <c r="B26" s="595"/>
      <c r="C26" s="595"/>
      <c r="D26" s="595"/>
      <c r="E26" s="595"/>
      <c r="F26" s="595"/>
      <c r="G26" s="595"/>
      <c r="H26" s="595"/>
      <c r="I26" s="595"/>
      <c r="J26" s="595"/>
      <c r="K26" s="595"/>
      <c r="L26" s="595"/>
      <c r="M26" s="595"/>
      <c r="N26" s="595"/>
      <c r="O26" s="595"/>
      <c r="P26" s="595"/>
      <c r="Q26" s="595"/>
      <c r="R26" s="595"/>
    </row>
    <row r="27" spans="1:22">
      <c r="A27" s="595"/>
      <c r="B27" s="595"/>
      <c r="C27" s="595"/>
      <c r="D27" s="595"/>
      <c r="E27" s="595"/>
      <c r="F27" s="595"/>
      <c r="G27" s="595"/>
      <c r="H27" s="595"/>
      <c r="I27" s="595"/>
      <c r="J27" s="595"/>
      <c r="K27" s="595"/>
      <c r="L27" s="595"/>
      <c r="M27" s="595"/>
      <c r="N27" s="595"/>
      <c r="O27" s="595"/>
      <c r="P27" s="595"/>
      <c r="Q27" s="595"/>
      <c r="R27" s="595"/>
    </row>
    <row r="28" spans="1:22">
      <c r="A28" s="595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</row>
    <row r="29" spans="1:22">
      <c r="A29" s="595"/>
      <c r="B29" s="595"/>
      <c r="C29" s="595"/>
      <c r="D29" s="595"/>
      <c r="E29" s="595"/>
      <c r="F29" s="595"/>
      <c r="G29" s="595"/>
      <c r="H29" s="595"/>
      <c r="I29" s="595"/>
      <c r="J29" s="595"/>
      <c r="K29" s="595"/>
      <c r="L29" s="595"/>
      <c r="M29" s="595"/>
      <c r="N29" s="595"/>
      <c r="O29" s="595"/>
      <c r="P29" s="595"/>
      <c r="Q29" s="595"/>
      <c r="R29" s="595"/>
    </row>
    <row r="30" spans="1:22">
      <c r="A30" s="942" t="s">
        <v>2</v>
      </c>
      <c r="B30" s="943" t="s">
        <v>266</v>
      </c>
      <c r="C30" s="943" t="s">
        <v>267</v>
      </c>
      <c r="D30" s="943" t="s">
        <v>98</v>
      </c>
      <c r="E30" s="943" t="s">
        <v>99</v>
      </c>
      <c r="F30" s="944" t="s">
        <v>448</v>
      </c>
      <c r="G30" s="944"/>
      <c r="H30" s="943" t="s">
        <v>448</v>
      </c>
      <c r="I30" s="945" t="s">
        <v>449</v>
      </c>
      <c r="J30" s="595"/>
      <c r="K30" s="595"/>
      <c r="L30" s="595"/>
      <c r="M30" s="595"/>
      <c r="N30" s="595"/>
      <c r="O30" s="595"/>
      <c r="P30" s="595"/>
      <c r="Q30" s="595"/>
      <c r="R30" s="595"/>
    </row>
    <row r="31" spans="1:22">
      <c r="A31" s="946"/>
      <c r="B31" s="946"/>
      <c r="C31" s="946"/>
      <c r="D31" s="946"/>
      <c r="E31" s="946"/>
      <c r="F31" s="947" t="s">
        <v>450</v>
      </c>
      <c r="G31" s="944" t="s">
        <v>451</v>
      </c>
      <c r="H31" s="944" t="s">
        <v>452</v>
      </c>
      <c r="I31" s="948" t="s">
        <v>453</v>
      </c>
      <c r="J31" s="595"/>
      <c r="K31" s="595"/>
      <c r="L31" s="595"/>
      <c r="M31" s="595"/>
      <c r="N31" s="595"/>
      <c r="O31" s="595"/>
      <c r="P31" s="595"/>
      <c r="Q31" s="595"/>
      <c r="R31" s="595"/>
    </row>
    <row r="32" spans="1:22">
      <c r="A32" s="595">
        <v>2019</v>
      </c>
      <c r="B32" s="595">
        <v>1370</v>
      </c>
      <c r="C32" s="595" t="s">
        <v>792</v>
      </c>
      <c r="D32" s="595">
        <v>755</v>
      </c>
      <c r="E32" s="595">
        <v>1</v>
      </c>
      <c r="F32" s="595" t="s">
        <v>382</v>
      </c>
      <c r="G32" s="595" t="s">
        <v>383</v>
      </c>
      <c r="H32" s="595" t="s">
        <v>384</v>
      </c>
      <c r="I32" s="949">
        <v>118566</v>
      </c>
      <c r="J32" s="595"/>
      <c r="K32" s="595"/>
      <c r="L32" s="595"/>
      <c r="M32" s="595"/>
      <c r="N32" s="595"/>
      <c r="O32" s="595"/>
      <c r="P32" s="595"/>
      <c r="Q32" s="595"/>
      <c r="R32" s="595"/>
    </row>
    <row r="33" spans="1:18">
      <c r="A33" s="595">
        <v>2019</v>
      </c>
      <c r="B33" s="595">
        <v>1370</v>
      </c>
      <c r="C33" s="595" t="s">
        <v>792</v>
      </c>
      <c r="D33" s="595">
        <v>755</v>
      </c>
      <c r="E33" s="595">
        <v>2</v>
      </c>
      <c r="F33" s="595" t="s">
        <v>320</v>
      </c>
      <c r="G33" s="595" t="s">
        <v>321</v>
      </c>
      <c r="H33" s="595" t="s">
        <v>322</v>
      </c>
      <c r="I33" s="949">
        <v>114388716</v>
      </c>
      <c r="J33" s="595"/>
      <c r="K33" s="595"/>
      <c r="L33" s="595"/>
      <c r="M33" s="595"/>
      <c r="N33" s="595"/>
      <c r="O33" s="595"/>
      <c r="P33" s="595"/>
      <c r="Q33" s="595"/>
      <c r="R33" s="595"/>
    </row>
    <row r="34" spans="1:18">
      <c r="A34" s="595">
        <v>2019</v>
      </c>
      <c r="B34" s="595">
        <v>1370</v>
      </c>
      <c r="C34" s="595" t="s">
        <v>792</v>
      </c>
      <c r="D34" s="595">
        <v>755</v>
      </c>
      <c r="E34" s="595">
        <v>3</v>
      </c>
      <c r="F34" s="595" t="s">
        <v>320</v>
      </c>
      <c r="G34" s="595" t="s">
        <v>321</v>
      </c>
      <c r="H34" s="595" t="s">
        <v>323</v>
      </c>
      <c r="I34" s="949">
        <v>45331905</v>
      </c>
      <c r="J34" s="595"/>
      <c r="K34" s="595"/>
      <c r="L34" s="595"/>
      <c r="M34" s="595"/>
      <c r="N34" s="595"/>
      <c r="O34" s="595"/>
      <c r="P34" s="595"/>
      <c r="Q34" s="595"/>
      <c r="R34" s="595"/>
    </row>
    <row r="35" spans="1:18">
      <c r="A35" s="595">
        <v>2019</v>
      </c>
      <c r="B35" s="595">
        <v>1370</v>
      </c>
      <c r="C35" s="595" t="s">
        <v>792</v>
      </c>
      <c r="D35" s="595">
        <v>755</v>
      </c>
      <c r="E35" s="595">
        <v>4</v>
      </c>
      <c r="F35" s="595" t="s">
        <v>320</v>
      </c>
      <c r="G35" s="595" t="s">
        <v>324</v>
      </c>
      <c r="H35" s="595" t="s">
        <v>325</v>
      </c>
      <c r="I35" s="949">
        <v>284889314</v>
      </c>
      <c r="J35" s="595"/>
      <c r="K35" s="595"/>
      <c r="L35" s="595"/>
      <c r="M35" s="595"/>
      <c r="N35" s="595"/>
      <c r="O35" s="595"/>
      <c r="P35" s="595"/>
      <c r="Q35" s="595"/>
      <c r="R35" s="595"/>
    </row>
    <row r="36" spans="1:18">
      <c r="A36" s="595">
        <v>2019</v>
      </c>
      <c r="B36" s="595">
        <v>1370</v>
      </c>
      <c r="C36" s="595" t="s">
        <v>792</v>
      </c>
      <c r="D36" s="595">
        <v>755</v>
      </c>
      <c r="E36" s="595">
        <v>5</v>
      </c>
      <c r="F36" s="595" t="s">
        <v>320</v>
      </c>
      <c r="G36" s="595" t="s">
        <v>324</v>
      </c>
      <c r="H36" s="595" t="s">
        <v>326</v>
      </c>
      <c r="I36" s="949">
        <v>444609935</v>
      </c>
      <c r="J36" s="595"/>
      <c r="K36" s="595"/>
      <c r="L36" s="595"/>
      <c r="M36" s="595"/>
      <c r="N36" s="595"/>
      <c r="O36" s="595"/>
      <c r="P36" s="595"/>
      <c r="Q36" s="595"/>
      <c r="R36" s="595"/>
    </row>
    <row r="37" spans="1:18">
      <c r="A37" s="595">
        <v>2019</v>
      </c>
      <c r="B37" s="595">
        <v>1370</v>
      </c>
      <c r="C37" s="595" t="s">
        <v>792</v>
      </c>
      <c r="D37" s="595">
        <v>755</v>
      </c>
      <c r="E37" s="595">
        <v>6</v>
      </c>
      <c r="F37" s="595" t="s">
        <v>320</v>
      </c>
      <c r="G37" s="595" t="s">
        <v>327</v>
      </c>
      <c r="H37" s="595" t="s">
        <v>328</v>
      </c>
      <c r="I37" s="949">
        <v>0</v>
      </c>
      <c r="J37" s="595"/>
      <c r="K37" s="595"/>
      <c r="L37" s="595"/>
      <c r="M37" s="595"/>
      <c r="N37" s="595"/>
      <c r="O37" s="595"/>
      <c r="P37" s="595"/>
      <c r="Q37" s="595"/>
      <c r="R37" s="595"/>
    </row>
    <row r="38" spans="1:18">
      <c r="A38" s="595">
        <v>2019</v>
      </c>
      <c r="B38" s="595">
        <v>1370</v>
      </c>
      <c r="C38" s="595" t="s">
        <v>792</v>
      </c>
      <c r="D38" s="595">
        <v>755</v>
      </c>
      <c r="E38" s="595">
        <v>7</v>
      </c>
      <c r="F38" s="595" t="s">
        <v>320</v>
      </c>
      <c r="G38" s="595" t="s">
        <v>324</v>
      </c>
      <c r="H38" s="595" t="s">
        <v>329</v>
      </c>
      <c r="I38" s="949">
        <v>444609935</v>
      </c>
      <c r="J38" s="595"/>
      <c r="K38" s="595"/>
      <c r="L38" s="595"/>
      <c r="M38" s="595"/>
      <c r="N38" s="595"/>
      <c r="O38" s="595"/>
      <c r="P38" s="595"/>
      <c r="Q38" s="595"/>
      <c r="R38" s="595"/>
    </row>
    <row r="39" spans="1:18">
      <c r="A39" s="595">
        <v>2019</v>
      </c>
      <c r="B39" s="595">
        <v>1370</v>
      </c>
      <c r="C39" s="595" t="s">
        <v>792</v>
      </c>
      <c r="D39" s="595">
        <v>755</v>
      </c>
      <c r="E39" s="595">
        <v>8</v>
      </c>
      <c r="F39" s="595" t="s">
        <v>330</v>
      </c>
      <c r="G39" s="595" t="s">
        <v>331</v>
      </c>
      <c r="H39" s="595" t="s">
        <v>322</v>
      </c>
      <c r="I39" s="949">
        <v>355311155</v>
      </c>
      <c r="J39" s="595"/>
      <c r="K39" s="595"/>
      <c r="L39" s="595"/>
      <c r="M39" s="595"/>
      <c r="N39" s="595"/>
      <c r="O39" s="595"/>
      <c r="P39" s="595"/>
      <c r="Q39" s="595"/>
      <c r="R39" s="595"/>
    </row>
    <row r="40" spans="1:18">
      <c r="A40" s="595">
        <v>2019</v>
      </c>
      <c r="B40" s="595">
        <v>1370</v>
      </c>
      <c r="C40" s="595" t="s">
        <v>792</v>
      </c>
      <c r="D40" s="595">
        <v>755</v>
      </c>
      <c r="E40" s="595">
        <v>9</v>
      </c>
      <c r="F40" s="595" t="s">
        <v>330</v>
      </c>
      <c r="G40" s="595" t="s">
        <v>331</v>
      </c>
      <c r="H40" s="595" t="s">
        <v>323</v>
      </c>
      <c r="I40" s="949">
        <v>82006516</v>
      </c>
      <c r="J40" s="595"/>
      <c r="K40" s="595"/>
      <c r="L40" s="595"/>
      <c r="M40" s="595"/>
      <c r="N40" s="595"/>
      <c r="O40" s="595"/>
      <c r="P40" s="595"/>
      <c r="Q40" s="595"/>
      <c r="R40" s="595"/>
    </row>
    <row r="41" spans="1:18">
      <c r="A41" s="595">
        <v>2019</v>
      </c>
      <c r="B41" s="595">
        <v>1370</v>
      </c>
      <c r="C41" s="595" t="s">
        <v>792</v>
      </c>
      <c r="D41" s="595">
        <v>755</v>
      </c>
      <c r="E41" s="595">
        <v>10</v>
      </c>
      <c r="F41" s="595" t="s">
        <v>330</v>
      </c>
      <c r="G41" s="595" t="s">
        <v>332</v>
      </c>
      <c r="H41" s="595" t="s">
        <v>325</v>
      </c>
      <c r="I41" s="949">
        <v>814737267</v>
      </c>
      <c r="J41" s="595"/>
      <c r="K41" s="595"/>
      <c r="L41" s="595"/>
      <c r="M41" s="595"/>
      <c r="N41" s="595"/>
      <c r="O41" s="595"/>
      <c r="P41" s="595"/>
      <c r="Q41" s="595"/>
      <c r="R41" s="595"/>
    </row>
    <row r="42" spans="1:18">
      <c r="A42" s="595">
        <v>2019</v>
      </c>
      <c r="B42" s="595">
        <v>1370</v>
      </c>
      <c r="C42" s="595" t="s">
        <v>792</v>
      </c>
      <c r="D42" s="595">
        <v>755</v>
      </c>
      <c r="E42" s="595">
        <v>11</v>
      </c>
      <c r="F42" s="595" t="s">
        <v>330</v>
      </c>
      <c r="G42" s="595" t="s">
        <v>332</v>
      </c>
      <c r="H42" s="595" t="s">
        <v>333</v>
      </c>
      <c r="I42" s="949">
        <v>1252054938</v>
      </c>
      <c r="J42" s="595"/>
      <c r="K42" s="595"/>
      <c r="L42" s="595"/>
      <c r="M42" s="595"/>
      <c r="N42" s="595"/>
      <c r="O42" s="595"/>
      <c r="P42" s="595"/>
      <c r="Q42" s="595"/>
      <c r="R42" s="595"/>
    </row>
    <row r="43" spans="1:18">
      <c r="A43" s="595">
        <v>2019</v>
      </c>
      <c r="B43" s="595">
        <v>1370</v>
      </c>
      <c r="C43" s="595" t="s">
        <v>792</v>
      </c>
      <c r="D43" s="595">
        <v>755</v>
      </c>
      <c r="E43" s="595">
        <v>12</v>
      </c>
      <c r="F43" s="595" t="s">
        <v>330</v>
      </c>
      <c r="G43" s="595" t="s">
        <v>334</v>
      </c>
      <c r="H43" s="595" t="s">
        <v>335</v>
      </c>
      <c r="I43" s="949">
        <v>26729186</v>
      </c>
      <c r="J43" s="595"/>
      <c r="K43" s="595"/>
      <c r="L43" s="595"/>
      <c r="M43" s="595"/>
      <c r="N43" s="595"/>
      <c r="O43" s="595"/>
      <c r="P43" s="595"/>
      <c r="Q43" s="595"/>
      <c r="R43" s="595"/>
    </row>
    <row r="44" spans="1:18">
      <c r="A44" s="595">
        <v>2019</v>
      </c>
      <c r="B44" s="595">
        <v>1370</v>
      </c>
      <c r="C44" s="595" t="s">
        <v>792</v>
      </c>
      <c r="D44" s="595">
        <v>755</v>
      </c>
      <c r="E44" s="595">
        <v>13</v>
      </c>
      <c r="F44" s="595" t="s">
        <v>330</v>
      </c>
      <c r="G44" s="595" t="s">
        <v>336</v>
      </c>
      <c r="H44" s="595" t="s">
        <v>308</v>
      </c>
      <c r="I44" s="949">
        <v>66867125</v>
      </c>
      <c r="J44" s="595"/>
      <c r="K44" s="595"/>
      <c r="L44" s="595"/>
      <c r="M44" s="595"/>
      <c r="N44" s="595"/>
      <c r="O44" s="595"/>
      <c r="P44" s="595"/>
      <c r="Q44" s="595"/>
      <c r="R44" s="595"/>
    </row>
    <row r="45" spans="1:18">
      <c r="A45" s="595">
        <v>2019</v>
      </c>
      <c r="B45" s="595">
        <v>1370</v>
      </c>
      <c r="C45" s="595" t="s">
        <v>792</v>
      </c>
      <c r="D45" s="595">
        <v>755</v>
      </c>
      <c r="E45" s="595">
        <v>14</v>
      </c>
      <c r="F45" s="595" t="s">
        <v>330</v>
      </c>
      <c r="G45" s="595" t="s">
        <v>337</v>
      </c>
      <c r="H45" s="595" t="s">
        <v>338</v>
      </c>
      <c r="I45" s="949">
        <v>1345651249</v>
      </c>
      <c r="J45" s="595"/>
      <c r="K45" s="595"/>
      <c r="L45" s="595"/>
      <c r="M45" s="595"/>
      <c r="N45" s="595"/>
      <c r="O45" s="595"/>
      <c r="P45" s="595"/>
      <c r="Q45" s="595"/>
      <c r="R45" s="595"/>
    </row>
    <row r="46" spans="1:18">
      <c r="A46" s="595">
        <v>2019</v>
      </c>
      <c r="B46" s="595">
        <v>1370</v>
      </c>
      <c r="C46" s="595" t="s">
        <v>792</v>
      </c>
      <c r="D46" s="595">
        <v>755</v>
      </c>
      <c r="E46" s="595">
        <v>15</v>
      </c>
      <c r="F46" s="595" t="s">
        <v>385</v>
      </c>
      <c r="G46" s="595" t="s">
        <v>386</v>
      </c>
      <c r="H46" s="595" t="s">
        <v>387</v>
      </c>
      <c r="I46" s="949">
        <v>0</v>
      </c>
      <c r="J46" s="595"/>
      <c r="K46" s="595"/>
      <c r="L46" s="595"/>
      <c r="M46" s="595"/>
      <c r="N46" s="595"/>
      <c r="O46" s="595"/>
      <c r="P46" s="595"/>
      <c r="Q46" s="595"/>
      <c r="R46" s="595"/>
    </row>
    <row r="47" spans="1:18">
      <c r="A47" s="595">
        <v>2019</v>
      </c>
      <c r="B47" s="595">
        <v>1370</v>
      </c>
      <c r="C47" s="595" t="s">
        <v>792</v>
      </c>
      <c r="D47" s="595">
        <v>755</v>
      </c>
      <c r="E47" s="595">
        <v>16</v>
      </c>
      <c r="F47" s="595" t="s">
        <v>385</v>
      </c>
      <c r="G47" s="595" t="s">
        <v>386</v>
      </c>
      <c r="H47" s="595" t="s">
        <v>388</v>
      </c>
      <c r="I47" s="949">
        <v>49401000</v>
      </c>
      <c r="J47" s="595"/>
      <c r="K47" s="595"/>
      <c r="L47" s="595"/>
      <c r="M47" s="595"/>
      <c r="N47" s="595"/>
      <c r="O47" s="595"/>
      <c r="P47" s="595"/>
      <c r="Q47" s="595"/>
      <c r="R47" s="595"/>
    </row>
    <row r="48" spans="1:18">
      <c r="A48" s="595">
        <v>2019</v>
      </c>
      <c r="B48" s="595">
        <v>1370</v>
      </c>
      <c r="C48" s="595" t="s">
        <v>792</v>
      </c>
      <c r="D48" s="595">
        <v>755</v>
      </c>
      <c r="E48" s="595">
        <v>17</v>
      </c>
      <c r="F48" s="595" t="s">
        <v>385</v>
      </c>
      <c r="G48" s="595" t="s">
        <v>386</v>
      </c>
      <c r="H48" s="595" t="s">
        <v>389</v>
      </c>
      <c r="I48" s="949">
        <v>555660000</v>
      </c>
      <c r="J48" s="595"/>
      <c r="K48" s="595"/>
      <c r="L48" s="595"/>
      <c r="M48" s="595"/>
      <c r="N48" s="595"/>
      <c r="O48" s="595"/>
      <c r="P48" s="595"/>
      <c r="Q48" s="595"/>
      <c r="R48" s="595"/>
    </row>
    <row r="49" spans="1:18">
      <c r="A49" s="595">
        <v>2019</v>
      </c>
      <c r="B49" s="595">
        <v>1370</v>
      </c>
      <c r="C49" s="595" t="s">
        <v>792</v>
      </c>
      <c r="D49" s="595">
        <v>755</v>
      </c>
      <c r="E49" s="595">
        <v>18</v>
      </c>
      <c r="F49" s="595" t="s">
        <v>385</v>
      </c>
      <c r="G49" s="595" t="s">
        <v>386</v>
      </c>
      <c r="H49" s="595" t="s">
        <v>390</v>
      </c>
      <c r="I49" s="949">
        <v>681198000</v>
      </c>
      <c r="J49" s="595"/>
      <c r="K49" s="595"/>
      <c r="L49" s="595"/>
      <c r="M49" s="595"/>
      <c r="N49" s="595"/>
      <c r="O49" s="595"/>
      <c r="P49" s="595"/>
      <c r="Q49" s="595"/>
      <c r="R49" s="595"/>
    </row>
    <row r="50" spans="1:18">
      <c r="A50" s="595">
        <v>2019</v>
      </c>
      <c r="B50" s="595">
        <v>1370</v>
      </c>
      <c r="C50" s="595" t="s">
        <v>792</v>
      </c>
      <c r="D50" s="595">
        <v>755</v>
      </c>
      <c r="E50" s="595">
        <v>19</v>
      </c>
      <c r="F50" s="595" t="s">
        <v>385</v>
      </c>
      <c r="G50" s="595" t="s">
        <v>386</v>
      </c>
      <c r="H50" s="595" t="s">
        <v>391</v>
      </c>
      <c r="I50" s="949">
        <v>272250000</v>
      </c>
      <c r="J50" s="595"/>
      <c r="K50" s="595"/>
      <c r="L50" s="595"/>
      <c r="M50" s="595"/>
      <c r="N50" s="595"/>
      <c r="O50" s="595"/>
      <c r="P50" s="595"/>
      <c r="Q50" s="595"/>
      <c r="R50" s="595"/>
    </row>
    <row r="51" spans="1:18">
      <c r="A51" s="595">
        <v>2019</v>
      </c>
      <c r="B51" s="595">
        <v>1370</v>
      </c>
      <c r="C51" s="595" t="s">
        <v>792</v>
      </c>
      <c r="D51" s="595">
        <v>755</v>
      </c>
      <c r="E51" s="595">
        <v>20</v>
      </c>
      <c r="F51" s="595" t="s">
        <v>385</v>
      </c>
      <c r="G51" s="595" t="s">
        <v>386</v>
      </c>
      <c r="H51" s="595" t="s">
        <v>392</v>
      </c>
      <c r="I51" s="949">
        <v>1437333000</v>
      </c>
      <c r="J51" s="595"/>
      <c r="K51" s="595"/>
      <c r="L51" s="595"/>
      <c r="M51" s="595"/>
      <c r="N51" s="595"/>
      <c r="O51" s="595"/>
      <c r="P51" s="595"/>
      <c r="Q51" s="595"/>
      <c r="R51" s="595"/>
    </row>
    <row r="52" spans="1:18">
      <c r="A52" s="595">
        <v>2019</v>
      </c>
      <c r="B52" s="595">
        <v>1370</v>
      </c>
      <c r="C52" s="595" t="s">
        <v>792</v>
      </c>
      <c r="D52" s="595">
        <v>755</v>
      </c>
      <c r="E52" s="595">
        <v>21</v>
      </c>
      <c r="F52" s="595" t="s">
        <v>385</v>
      </c>
      <c r="G52" s="595" t="s">
        <v>386</v>
      </c>
      <c r="H52" s="595" t="s">
        <v>393</v>
      </c>
      <c r="I52" s="949">
        <v>151465000</v>
      </c>
      <c r="J52" s="595"/>
      <c r="K52" s="595"/>
      <c r="L52" s="595"/>
      <c r="M52" s="595"/>
      <c r="N52" s="595"/>
      <c r="O52" s="595"/>
      <c r="P52" s="595"/>
      <c r="Q52" s="595"/>
      <c r="R52" s="595"/>
    </row>
    <row r="53" spans="1:18">
      <c r="A53" s="595">
        <v>2019</v>
      </c>
      <c r="B53" s="595">
        <v>1370</v>
      </c>
      <c r="C53" s="595" t="s">
        <v>792</v>
      </c>
      <c r="D53" s="595">
        <v>755</v>
      </c>
      <c r="E53" s="595">
        <v>22</v>
      </c>
      <c r="F53" s="595" t="s">
        <v>385</v>
      </c>
      <c r="G53" s="595" t="s">
        <v>386</v>
      </c>
      <c r="H53" s="595" t="s">
        <v>394</v>
      </c>
      <c r="I53" s="949">
        <v>266587000</v>
      </c>
      <c r="J53" s="595"/>
      <c r="K53" s="595"/>
      <c r="L53" s="595"/>
      <c r="M53" s="595"/>
      <c r="N53" s="595"/>
      <c r="O53" s="595"/>
      <c r="P53" s="595"/>
      <c r="Q53" s="595"/>
      <c r="R53" s="595"/>
    </row>
    <row r="54" spans="1:18">
      <c r="A54" s="595">
        <v>2019</v>
      </c>
      <c r="B54" s="595">
        <v>1370</v>
      </c>
      <c r="C54" s="595" t="s">
        <v>792</v>
      </c>
      <c r="D54" s="595">
        <v>755</v>
      </c>
      <c r="E54" s="595">
        <v>23</v>
      </c>
      <c r="F54" s="595" t="s">
        <v>385</v>
      </c>
      <c r="G54" s="595" t="s">
        <v>386</v>
      </c>
      <c r="H54" s="595" t="s">
        <v>395</v>
      </c>
      <c r="I54" s="949">
        <v>82094000</v>
      </c>
      <c r="J54" s="595"/>
      <c r="K54" s="595"/>
      <c r="L54" s="595"/>
      <c r="M54" s="595"/>
      <c r="N54" s="595"/>
      <c r="O54" s="595"/>
      <c r="P54" s="595"/>
      <c r="Q54" s="595"/>
      <c r="R54" s="595"/>
    </row>
    <row r="55" spans="1:18">
      <c r="A55" s="595">
        <v>2019</v>
      </c>
      <c r="B55" s="595">
        <v>1370</v>
      </c>
      <c r="C55" s="595" t="s">
        <v>792</v>
      </c>
      <c r="D55" s="595">
        <v>755</v>
      </c>
      <c r="E55" s="595">
        <v>24</v>
      </c>
      <c r="F55" s="595" t="s">
        <v>385</v>
      </c>
      <c r="G55" s="595" t="s">
        <v>386</v>
      </c>
      <c r="H55" s="595" t="s">
        <v>396</v>
      </c>
      <c r="I55" s="949">
        <v>33621000</v>
      </c>
      <c r="J55" s="595"/>
      <c r="K55" s="595"/>
      <c r="L55" s="595"/>
      <c r="M55" s="595"/>
      <c r="N55" s="595"/>
      <c r="O55" s="595"/>
      <c r="P55" s="595"/>
      <c r="Q55" s="595"/>
      <c r="R55" s="595"/>
    </row>
    <row r="56" spans="1:18">
      <c r="A56" s="595">
        <v>2019</v>
      </c>
      <c r="B56" s="595">
        <v>1370</v>
      </c>
      <c r="C56" s="595" t="s">
        <v>792</v>
      </c>
      <c r="D56" s="595">
        <v>755</v>
      </c>
      <c r="E56" s="595">
        <v>25</v>
      </c>
      <c r="F56" s="595" t="s">
        <v>385</v>
      </c>
      <c r="G56" s="595" t="s">
        <v>386</v>
      </c>
      <c r="H56" s="595" t="s">
        <v>397</v>
      </c>
      <c r="I56" s="949">
        <v>1185508000</v>
      </c>
      <c r="J56" s="595"/>
      <c r="K56" s="595"/>
      <c r="L56" s="595"/>
      <c r="M56" s="595"/>
      <c r="N56" s="595"/>
      <c r="O56" s="595"/>
      <c r="P56" s="595"/>
      <c r="Q56" s="595"/>
      <c r="R56" s="595"/>
    </row>
    <row r="57" spans="1:18">
      <c r="A57" s="595">
        <v>2019</v>
      </c>
      <c r="B57" s="595">
        <v>1370</v>
      </c>
      <c r="C57" s="595" t="s">
        <v>792</v>
      </c>
      <c r="D57" s="595">
        <v>755</v>
      </c>
      <c r="E57" s="595">
        <v>26</v>
      </c>
      <c r="F57" s="595" t="s">
        <v>385</v>
      </c>
      <c r="G57" s="595" t="s">
        <v>386</v>
      </c>
      <c r="H57" s="595" t="s">
        <v>398</v>
      </c>
      <c r="I57" s="949">
        <v>241641000</v>
      </c>
      <c r="J57" s="595"/>
      <c r="K57" s="595"/>
      <c r="L57" s="595"/>
      <c r="M57" s="595"/>
      <c r="N57" s="595"/>
      <c r="O57" s="595"/>
      <c r="P57" s="595"/>
      <c r="Q57" s="595"/>
      <c r="R57" s="595"/>
    </row>
    <row r="58" spans="1:18">
      <c r="A58" s="595">
        <v>2019</v>
      </c>
      <c r="B58" s="595">
        <v>1370</v>
      </c>
      <c r="C58" s="595" t="s">
        <v>792</v>
      </c>
      <c r="D58" s="595">
        <v>755</v>
      </c>
      <c r="E58" s="595">
        <v>27</v>
      </c>
      <c r="F58" s="595" t="s">
        <v>385</v>
      </c>
      <c r="G58" s="595" t="s">
        <v>386</v>
      </c>
      <c r="H58" s="595" t="s">
        <v>399</v>
      </c>
      <c r="I58" s="949">
        <v>822000</v>
      </c>
      <c r="J58" s="595"/>
      <c r="K58" s="595"/>
      <c r="L58" s="595"/>
      <c r="M58" s="595"/>
      <c r="N58" s="595"/>
      <c r="O58" s="595"/>
      <c r="P58" s="595"/>
      <c r="Q58" s="595"/>
      <c r="R58" s="595"/>
    </row>
    <row r="59" spans="1:18">
      <c r="A59" s="595">
        <v>2019</v>
      </c>
      <c r="B59" s="595">
        <v>1370</v>
      </c>
      <c r="C59" s="595" t="s">
        <v>792</v>
      </c>
      <c r="D59" s="595">
        <v>755</v>
      </c>
      <c r="E59" s="595">
        <v>28</v>
      </c>
      <c r="F59" s="595" t="s">
        <v>385</v>
      </c>
      <c r="G59" s="595" t="s">
        <v>386</v>
      </c>
      <c r="H59" s="595" t="s">
        <v>400</v>
      </c>
      <c r="I59" s="949">
        <v>275559000</v>
      </c>
      <c r="J59" s="595"/>
      <c r="K59" s="595"/>
      <c r="L59" s="595"/>
      <c r="M59" s="595"/>
      <c r="N59" s="595"/>
      <c r="O59" s="595"/>
      <c r="P59" s="595"/>
      <c r="Q59" s="595"/>
      <c r="R59" s="595"/>
    </row>
    <row r="60" spans="1:18">
      <c r="A60" s="595">
        <v>2019</v>
      </c>
      <c r="B60" s="595">
        <v>1370</v>
      </c>
      <c r="C60" s="595" t="s">
        <v>792</v>
      </c>
      <c r="D60" s="595">
        <v>755</v>
      </c>
      <c r="E60" s="595">
        <v>29</v>
      </c>
      <c r="F60" s="595" t="s">
        <v>385</v>
      </c>
      <c r="G60" s="595" t="s">
        <v>401</v>
      </c>
      <c r="H60" s="595" t="s">
        <v>402</v>
      </c>
      <c r="I60" s="949">
        <v>63742000</v>
      </c>
      <c r="J60" s="595"/>
      <c r="K60" s="595"/>
      <c r="L60" s="595"/>
      <c r="M60" s="595"/>
      <c r="N60" s="595"/>
      <c r="O60" s="595"/>
      <c r="P60" s="595"/>
      <c r="Q60" s="595"/>
      <c r="R60" s="595"/>
    </row>
    <row r="61" spans="1:18">
      <c r="A61" s="595">
        <v>2019</v>
      </c>
      <c r="B61" s="595">
        <v>1370</v>
      </c>
      <c r="C61" s="595" t="s">
        <v>792</v>
      </c>
      <c r="D61" s="595">
        <v>755</v>
      </c>
      <c r="E61" s="595">
        <v>30</v>
      </c>
      <c r="F61" s="595" t="s">
        <v>385</v>
      </c>
      <c r="G61" s="595" t="s">
        <v>401</v>
      </c>
      <c r="H61" s="595" t="s">
        <v>403</v>
      </c>
      <c r="I61" s="949">
        <v>5296881000</v>
      </c>
      <c r="J61" s="595"/>
      <c r="K61" s="595"/>
      <c r="L61" s="595"/>
      <c r="M61" s="595"/>
      <c r="N61" s="595"/>
      <c r="O61" s="595"/>
      <c r="P61" s="595"/>
      <c r="Q61" s="595"/>
      <c r="R61" s="595"/>
    </row>
    <row r="62" spans="1:18">
      <c r="A62" s="595">
        <v>2019</v>
      </c>
      <c r="B62" s="595">
        <v>1370</v>
      </c>
      <c r="C62" s="595" t="s">
        <v>792</v>
      </c>
      <c r="D62" s="595">
        <v>755</v>
      </c>
      <c r="E62" s="595">
        <v>31</v>
      </c>
      <c r="F62" s="595" t="s">
        <v>385</v>
      </c>
      <c r="G62" s="595" t="s">
        <v>404</v>
      </c>
      <c r="H62" s="595" t="s">
        <v>387</v>
      </c>
      <c r="I62" s="949">
        <v>0</v>
      </c>
      <c r="J62" s="595"/>
      <c r="K62" s="595"/>
      <c r="L62" s="595"/>
      <c r="M62" s="595"/>
      <c r="N62" s="595"/>
      <c r="O62" s="595"/>
      <c r="P62" s="595"/>
      <c r="Q62" s="595"/>
      <c r="R62" s="595"/>
    </row>
    <row r="63" spans="1:18">
      <c r="A63" s="595">
        <v>2019</v>
      </c>
      <c r="B63" s="595">
        <v>1370</v>
      </c>
      <c r="C63" s="595" t="s">
        <v>792</v>
      </c>
      <c r="D63" s="595">
        <v>755</v>
      </c>
      <c r="E63" s="595">
        <v>32</v>
      </c>
      <c r="F63" s="595" t="s">
        <v>385</v>
      </c>
      <c r="G63" s="595" t="s">
        <v>404</v>
      </c>
      <c r="H63" s="595" t="s">
        <v>388</v>
      </c>
      <c r="I63" s="949">
        <v>43646000</v>
      </c>
      <c r="J63" s="595"/>
      <c r="K63" s="595"/>
      <c r="L63" s="595"/>
      <c r="M63" s="595"/>
      <c r="N63" s="595"/>
      <c r="O63" s="595"/>
      <c r="P63" s="595"/>
      <c r="Q63" s="595"/>
      <c r="R63" s="595"/>
    </row>
    <row r="64" spans="1:18">
      <c r="A64" s="595">
        <v>2019</v>
      </c>
      <c r="B64" s="595">
        <v>1370</v>
      </c>
      <c r="C64" s="595" t="s">
        <v>792</v>
      </c>
      <c r="D64" s="595">
        <v>755</v>
      </c>
      <c r="E64" s="595">
        <v>33</v>
      </c>
      <c r="F64" s="595" t="s">
        <v>385</v>
      </c>
      <c r="G64" s="595" t="s">
        <v>404</v>
      </c>
      <c r="H64" s="595" t="s">
        <v>389</v>
      </c>
      <c r="I64" s="949">
        <v>463616000</v>
      </c>
      <c r="J64" s="595"/>
      <c r="K64" s="595"/>
      <c r="L64" s="595"/>
      <c r="M64" s="595"/>
      <c r="N64" s="595"/>
      <c r="O64" s="595"/>
      <c r="P64" s="595"/>
      <c r="Q64" s="595"/>
      <c r="R64" s="595"/>
    </row>
    <row r="65" spans="1:18">
      <c r="A65" s="595">
        <v>2019</v>
      </c>
      <c r="B65" s="595">
        <v>1370</v>
      </c>
      <c r="C65" s="595" t="s">
        <v>792</v>
      </c>
      <c r="D65" s="595">
        <v>755</v>
      </c>
      <c r="E65" s="595">
        <v>34</v>
      </c>
      <c r="F65" s="595" t="s">
        <v>385</v>
      </c>
      <c r="G65" s="595" t="s">
        <v>404</v>
      </c>
      <c r="H65" s="595" t="s">
        <v>390</v>
      </c>
      <c r="I65" s="949">
        <v>651560000</v>
      </c>
      <c r="J65" s="595"/>
      <c r="K65" s="595"/>
      <c r="L65" s="595"/>
      <c r="M65" s="595"/>
      <c r="N65" s="595"/>
      <c r="O65" s="595"/>
      <c r="P65" s="595"/>
      <c r="Q65" s="595"/>
      <c r="R65" s="595"/>
    </row>
    <row r="66" spans="1:18">
      <c r="A66" s="595">
        <v>2019</v>
      </c>
      <c r="B66" s="595">
        <v>1370</v>
      </c>
      <c r="C66" s="595" t="s">
        <v>792</v>
      </c>
      <c r="D66" s="595">
        <v>755</v>
      </c>
      <c r="E66" s="595">
        <v>35</v>
      </c>
      <c r="F66" s="595" t="s">
        <v>385</v>
      </c>
      <c r="G66" s="595" t="s">
        <v>404</v>
      </c>
      <c r="H66" s="595" t="s">
        <v>391</v>
      </c>
      <c r="I66" s="949">
        <v>266589000</v>
      </c>
      <c r="J66" s="595"/>
      <c r="K66" s="595"/>
      <c r="L66" s="595"/>
      <c r="M66" s="595"/>
      <c r="N66" s="595"/>
      <c r="O66" s="595"/>
      <c r="P66" s="595"/>
      <c r="Q66" s="595"/>
      <c r="R66" s="595"/>
    </row>
    <row r="67" spans="1:18">
      <c r="A67" s="595">
        <v>2019</v>
      </c>
      <c r="B67" s="595">
        <v>1370</v>
      </c>
      <c r="C67" s="595" t="s">
        <v>792</v>
      </c>
      <c r="D67" s="595">
        <v>755</v>
      </c>
      <c r="E67" s="595">
        <v>36</v>
      </c>
      <c r="F67" s="595" t="s">
        <v>385</v>
      </c>
      <c r="G67" s="595" t="s">
        <v>404</v>
      </c>
      <c r="H67" s="595" t="s">
        <v>392</v>
      </c>
      <c r="I67" s="949">
        <v>1465416000</v>
      </c>
      <c r="J67" s="595"/>
      <c r="K67" s="595"/>
      <c r="L67" s="595"/>
      <c r="M67" s="595"/>
      <c r="N67" s="595"/>
      <c r="O67" s="595"/>
      <c r="P67" s="595"/>
      <c r="Q67" s="595"/>
      <c r="R67" s="595"/>
    </row>
    <row r="68" spans="1:18">
      <c r="A68" s="595">
        <v>2019</v>
      </c>
      <c r="B68" s="595">
        <v>1370</v>
      </c>
      <c r="C68" s="595" t="s">
        <v>792</v>
      </c>
      <c r="D68" s="595">
        <v>755</v>
      </c>
      <c r="E68" s="595">
        <v>37</v>
      </c>
      <c r="F68" s="595" t="s">
        <v>385</v>
      </c>
      <c r="G68" s="595" t="s">
        <v>404</v>
      </c>
      <c r="H68" s="595" t="s">
        <v>393</v>
      </c>
      <c r="I68" s="949">
        <v>164115000</v>
      </c>
      <c r="J68" s="595"/>
      <c r="K68" s="595"/>
      <c r="L68" s="595"/>
      <c r="M68" s="595"/>
      <c r="N68" s="595"/>
      <c r="O68" s="595"/>
      <c r="P68" s="595"/>
      <c r="Q68" s="595"/>
      <c r="R68" s="595"/>
    </row>
    <row r="69" spans="1:18">
      <c r="A69" s="595">
        <v>2019</v>
      </c>
      <c r="B69" s="595">
        <v>1370</v>
      </c>
      <c r="C69" s="595" t="s">
        <v>792</v>
      </c>
      <c r="D69" s="595">
        <v>755</v>
      </c>
      <c r="E69" s="595">
        <v>38</v>
      </c>
      <c r="F69" s="595" t="s">
        <v>385</v>
      </c>
      <c r="G69" s="595" t="s">
        <v>404</v>
      </c>
      <c r="H69" s="595" t="s">
        <v>394</v>
      </c>
      <c r="I69" s="949">
        <v>273374000</v>
      </c>
      <c r="J69" s="595"/>
      <c r="K69" s="595"/>
      <c r="L69" s="595"/>
      <c r="M69" s="595"/>
      <c r="N69" s="595"/>
      <c r="O69" s="595"/>
      <c r="P69" s="595"/>
      <c r="Q69" s="595"/>
      <c r="R69" s="595"/>
    </row>
    <row r="70" spans="1:18">
      <c r="A70" s="595">
        <v>2019</v>
      </c>
      <c r="B70" s="595">
        <v>1370</v>
      </c>
      <c r="C70" s="595" t="s">
        <v>792</v>
      </c>
      <c r="D70" s="595">
        <v>755</v>
      </c>
      <c r="E70" s="595">
        <v>39</v>
      </c>
      <c r="F70" s="595" t="s">
        <v>385</v>
      </c>
      <c r="G70" s="595" t="s">
        <v>404</v>
      </c>
      <c r="H70" s="595" t="s">
        <v>395</v>
      </c>
      <c r="I70" s="949">
        <v>74950000</v>
      </c>
      <c r="J70" s="595"/>
      <c r="K70" s="595"/>
      <c r="L70" s="595"/>
      <c r="M70" s="595"/>
      <c r="N70" s="595"/>
      <c r="O70" s="595"/>
      <c r="P70" s="595"/>
      <c r="Q70" s="595"/>
      <c r="R70" s="595"/>
    </row>
    <row r="71" spans="1:18">
      <c r="A71" s="595">
        <v>2019</v>
      </c>
      <c r="B71" s="595">
        <v>1370</v>
      </c>
      <c r="C71" s="595" t="s">
        <v>792</v>
      </c>
      <c r="D71" s="595">
        <v>755</v>
      </c>
      <c r="E71" s="595">
        <v>40</v>
      </c>
      <c r="F71" s="595" t="s">
        <v>385</v>
      </c>
      <c r="G71" s="595" t="s">
        <v>404</v>
      </c>
      <c r="H71" s="595" t="s">
        <v>396</v>
      </c>
      <c r="I71" s="949">
        <v>30637000</v>
      </c>
      <c r="J71" s="595"/>
      <c r="K71" s="595"/>
      <c r="L71" s="595"/>
      <c r="M71" s="595"/>
      <c r="N71" s="595"/>
      <c r="O71" s="595"/>
      <c r="P71" s="595"/>
      <c r="Q71" s="595"/>
      <c r="R71" s="595"/>
    </row>
    <row r="72" spans="1:18">
      <c r="A72" s="595">
        <v>2019</v>
      </c>
      <c r="B72" s="595">
        <v>1370</v>
      </c>
      <c r="C72" s="595" t="s">
        <v>792</v>
      </c>
      <c r="D72" s="595">
        <v>755</v>
      </c>
      <c r="E72" s="595">
        <v>41</v>
      </c>
      <c r="F72" s="595" t="s">
        <v>385</v>
      </c>
      <c r="G72" s="595" t="s">
        <v>404</v>
      </c>
      <c r="H72" s="595" t="s">
        <v>397</v>
      </c>
      <c r="I72" s="949">
        <v>124426000</v>
      </c>
      <c r="J72" s="595"/>
      <c r="K72" s="595"/>
      <c r="L72" s="595"/>
      <c r="M72" s="595"/>
      <c r="N72" s="595"/>
      <c r="O72" s="595"/>
      <c r="P72" s="595"/>
      <c r="Q72" s="595"/>
      <c r="R72" s="595"/>
    </row>
    <row r="73" spans="1:18">
      <c r="A73" s="595">
        <v>2019</v>
      </c>
      <c r="B73" s="595">
        <v>1370</v>
      </c>
      <c r="C73" s="595" t="s">
        <v>792</v>
      </c>
      <c r="D73" s="595">
        <v>755</v>
      </c>
      <c r="E73" s="595">
        <v>42</v>
      </c>
      <c r="F73" s="595" t="s">
        <v>385</v>
      </c>
      <c r="G73" s="595" t="s">
        <v>404</v>
      </c>
      <c r="H73" s="595" t="s">
        <v>398</v>
      </c>
      <c r="I73" s="949">
        <v>113319000</v>
      </c>
      <c r="J73" s="595"/>
      <c r="K73" s="595"/>
      <c r="L73" s="595"/>
      <c r="M73" s="595"/>
      <c r="N73" s="595"/>
      <c r="O73" s="595"/>
      <c r="P73" s="595"/>
      <c r="Q73" s="595"/>
      <c r="R73" s="595"/>
    </row>
    <row r="74" spans="1:18">
      <c r="A74" s="595">
        <v>2019</v>
      </c>
      <c r="B74" s="595">
        <v>1370</v>
      </c>
      <c r="C74" s="595" t="s">
        <v>792</v>
      </c>
      <c r="D74" s="595">
        <v>755</v>
      </c>
      <c r="E74" s="595">
        <v>43</v>
      </c>
      <c r="F74" s="595" t="s">
        <v>385</v>
      </c>
      <c r="G74" s="595" t="s">
        <v>404</v>
      </c>
      <c r="H74" s="595" t="s">
        <v>399</v>
      </c>
      <c r="I74" s="949">
        <v>1095000</v>
      </c>
      <c r="J74" s="595"/>
      <c r="K74" s="595"/>
      <c r="L74" s="595"/>
      <c r="M74" s="595"/>
      <c r="N74" s="595"/>
      <c r="O74" s="595"/>
      <c r="P74" s="595"/>
      <c r="Q74" s="595"/>
      <c r="R74" s="595"/>
    </row>
    <row r="75" spans="1:18">
      <c r="A75" s="595">
        <v>2019</v>
      </c>
      <c r="B75" s="595">
        <v>1370</v>
      </c>
      <c r="C75" s="595" t="s">
        <v>792</v>
      </c>
      <c r="D75" s="595">
        <v>755</v>
      </c>
      <c r="E75" s="595">
        <v>44</v>
      </c>
      <c r="F75" s="595" t="s">
        <v>385</v>
      </c>
      <c r="G75" s="595" t="s">
        <v>404</v>
      </c>
      <c r="H75" s="595" t="s">
        <v>400</v>
      </c>
      <c r="I75" s="949">
        <v>271493000</v>
      </c>
      <c r="J75" s="595"/>
      <c r="K75" s="595"/>
      <c r="L75" s="595"/>
      <c r="M75" s="595"/>
      <c r="N75" s="595"/>
      <c r="O75" s="595"/>
      <c r="P75" s="595"/>
      <c r="Q75" s="595"/>
      <c r="R75" s="595"/>
    </row>
    <row r="76" spans="1:18">
      <c r="A76" s="595">
        <v>2019</v>
      </c>
      <c r="B76" s="595">
        <v>1370</v>
      </c>
      <c r="C76" s="595" t="s">
        <v>792</v>
      </c>
      <c r="D76" s="595">
        <v>755</v>
      </c>
      <c r="E76" s="595">
        <v>45</v>
      </c>
      <c r="F76" s="595" t="s">
        <v>385</v>
      </c>
      <c r="G76" s="595" t="s">
        <v>405</v>
      </c>
      <c r="H76" s="595" t="s">
        <v>402</v>
      </c>
      <c r="I76" s="949">
        <v>6091000</v>
      </c>
      <c r="J76" s="595"/>
      <c r="K76" s="595"/>
      <c r="L76" s="595"/>
      <c r="M76" s="595"/>
      <c r="N76" s="595"/>
      <c r="O76" s="595"/>
      <c r="P76" s="595"/>
      <c r="Q76" s="595"/>
      <c r="R76" s="595"/>
    </row>
    <row r="77" spans="1:18">
      <c r="A77" s="595">
        <v>2019</v>
      </c>
      <c r="B77" s="595">
        <v>1370</v>
      </c>
      <c r="C77" s="595" t="s">
        <v>792</v>
      </c>
      <c r="D77" s="595">
        <v>755</v>
      </c>
      <c r="E77" s="595">
        <v>46</v>
      </c>
      <c r="F77" s="595" t="s">
        <v>385</v>
      </c>
      <c r="G77" s="595" t="s">
        <v>405</v>
      </c>
      <c r="H77" s="595" t="s">
        <v>406</v>
      </c>
      <c r="I77" s="949">
        <v>3950327000</v>
      </c>
      <c r="J77" s="595"/>
      <c r="K77" s="595"/>
      <c r="L77" s="595"/>
      <c r="M77" s="595"/>
      <c r="N77" s="595"/>
      <c r="O77" s="595"/>
      <c r="P77" s="595"/>
      <c r="Q77" s="595"/>
      <c r="R77" s="595"/>
    </row>
    <row r="78" spans="1:18">
      <c r="A78" s="595">
        <v>2019</v>
      </c>
      <c r="B78" s="595">
        <v>1370</v>
      </c>
      <c r="C78" s="595" t="s">
        <v>792</v>
      </c>
      <c r="D78" s="595">
        <v>755</v>
      </c>
      <c r="E78" s="595">
        <v>47</v>
      </c>
      <c r="F78" s="595" t="s">
        <v>385</v>
      </c>
      <c r="G78" s="595" t="s">
        <v>407</v>
      </c>
      <c r="H78" s="595" t="s">
        <v>387</v>
      </c>
      <c r="I78" s="949">
        <v>0</v>
      </c>
      <c r="J78" s="595"/>
      <c r="K78" s="595"/>
      <c r="L78" s="595"/>
      <c r="M78" s="595"/>
      <c r="N78" s="595"/>
      <c r="O78" s="595"/>
      <c r="P78" s="595"/>
      <c r="Q78" s="595"/>
      <c r="R78" s="595"/>
    </row>
    <row r="79" spans="1:18">
      <c r="A79" s="595">
        <v>2019</v>
      </c>
      <c r="B79" s="595">
        <v>1370</v>
      </c>
      <c r="C79" s="595" t="s">
        <v>792</v>
      </c>
      <c r="D79" s="595">
        <v>755</v>
      </c>
      <c r="E79" s="595">
        <v>48</v>
      </c>
      <c r="F79" s="595" t="s">
        <v>385</v>
      </c>
      <c r="G79" s="595" t="s">
        <v>407</v>
      </c>
      <c r="H79" s="595" t="s">
        <v>388</v>
      </c>
      <c r="I79" s="949">
        <v>67691000</v>
      </c>
      <c r="J79" s="595"/>
      <c r="K79" s="595"/>
      <c r="L79" s="595"/>
      <c r="M79" s="595"/>
      <c r="N79" s="595"/>
      <c r="O79" s="595"/>
      <c r="P79" s="595"/>
      <c r="Q79" s="595"/>
      <c r="R79" s="595"/>
    </row>
    <row r="80" spans="1:18">
      <c r="A80" s="595">
        <v>2019</v>
      </c>
      <c r="B80" s="595">
        <v>1370</v>
      </c>
      <c r="C80" s="595" t="s">
        <v>792</v>
      </c>
      <c r="D80" s="595">
        <v>755</v>
      </c>
      <c r="E80" s="595">
        <v>49</v>
      </c>
      <c r="F80" s="595" t="s">
        <v>385</v>
      </c>
      <c r="G80" s="595" t="s">
        <v>407</v>
      </c>
      <c r="H80" s="595" t="s">
        <v>389</v>
      </c>
      <c r="I80" s="949">
        <v>312027000</v>
      </c>
      <c r="J80" s="595"/>
      <c r="K80" s="595"/>
      <c r="L80" s="595"/>
      <c r="M80" s="595"/>
      <c r="N80" s="595"/>
      <c r="O80" s="595"/>
      <c r="P80" s="595"/>
      <c r="Q80" s="595"/>
      <c r="R80" s="595"/>
    </row>
    <row r="81" spans="1:18">
      <c r="A81" s="595">
        <v>2019</v>
      </c>
      <c r="B81" s="595">
        <v>1370</v>
      </c>
      <c r="C81" s="595" t="s">
        <v>792</v>
      </c>
      <c r="D81" s="595">
        <v>755</v>
      </c>
      <c r="E81" s="595">
        <v>50</v>
      </c>
      <c r="F81" s="595" t="s">
        <v>385</v>
      </c>
      <c r="G81" s="595" t="s">
        <v>407</v>
      </c>
      <c r="H81" s="595" t="s">
        <v>390</v>
      </c>
      <c r="I81" s="949">
        <v>1644605000</v>
      </c>
      <c r="J81" s="595"/>
      <c r="K81" s="595"/>
      <c r="L81" s="595"/>
      <c r="M81" s="595"/>
      <c r="N81" s="595"/>
      <c r="O81" s="595"/>
      <c r="P81" s="595"/>
      <c r="Q81" s="595"/>
      <c r="R81" s="595"/>
    </row>
    <row r="82" spans="1:18">
      <c r="A82" s="595">
        <v>2019</v>
      </c>
      <c r="B82" s="595">
        <v>1370</v>
      </c>
      <c r="C82" s="595" t="s">
        <v>792</v>
      </c>
      <c r="D82" s="595">
        <v>755</v>
      </c>
      <c r="E82" s="595">
        <v>51</v>
      </c>
      <c r="F82" s="595" t="s">
        <v>385</v>
      </c>
      <c r="G82" s="595" t="s">
        <v>407</v>
      </c>
      <c r="H82" s="595" t="s">
        <v>391</v>
      </c>
      <c r="I82" s="949">
        <v>102939000</v>
      </c>
      <c r="J82" s="595"/>
      <c r="K82" s="595"/>
      <c r="L82" s="595"/>
      <c r="M82" s="595"/>
      <c r="N82" s="595"/>
      <c r="O82" s="595"/>
      <c r="P82" s="595"/>
      <c r="Q82" s="595"/>
      <c r="R82" s="595"/>
    </row>
    <row r="83" spans="1:18">
      <c r="A83" s="595">
        <v>2019</v>
      </c>
      <c r="B83" s="595">
        <v>1370</v>
      </c>
      <c r="C83" s="595" t="s">
        <v>792</v>
      </c>
      <c r="D83" s="595">
        <v>755</v>
      </c>
      <c r="E83" s="595">
        <v>52</v>
      </c>
      <c r="F83" s="595" t="s">
        <v>385</v>
      </c>
      <c r="G83" s="595" t="s">
        <v>407</v>
      </c>
      <c r="H83" s="595" t="s">
        <v>392</v>
      </c>
      <c r="I83" s="949">
        <v>2423582000</v>
      </c>
      <c r="J83" s="595"/>
      <c r="K83" s="595"/>
      <c r="L83" s="595"/>
      <c r="M83" s="595"/>
      <c r="N83" s="595"/>
      <c r="O83" s="595"/>
      <c r="P83" s="595"/>
      <c r="Q83" s="595"/>
      <c r="R83" s="595"/>
    </row>
    <row r="84" spans="1:18">
      <c r="A84" s="595">
        <v>2019</v>
      </c>
      <c r="B84" s="595">
        <v>1370</v>
      </c>
      <c r="C84" s="595" t="s">
        <v>792</v>
      </c>
      <c r="D84" s="595">
        <v>755</v>
      </c>
      <c r="E84" s="595">
        <v>53</v>
      </c>
      <c r="F84" s="595" t="s">
        <v>385</v>
      </c>
      <c r="G84" s="595" t="s">
        <v>407</v>
      </c>
      <c r="H84" s="595" t="s">
        <v>393</v>
      </c>
      <c r="I84" s="949">
        <v>173666000</v>
      </c>
      <c r="J84" s="595"/>
      <c r="K84" s="595"/>
      <c r="L84" s="595"/>
      <c r="M84" s="595"/>
      <c r="N84" s="595"/>
      <c r="O84" s="595"/>
      <c r="P84" s="595"/>
      <c r="Q84" s="595"/>
      <c r="R84" s="595"/>
    </row>
    <row r="85" spans="1:18">
      <c r="A85" s="595">
        <v>2019</v>
      </c>
      <c r="B85" s="595">
        <v>1370</v>
      </c>
      <c r="C85" s="595" t="s">
        <v>792</v>
      </c>
      <c r="D85" s="595">
        <v>755</v>
      </c>
      <c r="E85" s="595">
        <v>54</v>
      </c>
      <c r="F85" s="595" t="s">
        <v>385</v>
      </c>
      <c r="G85" s="595" t="s">
        <v>407</v>
      </c>
      <c r="H85" s="595" t="s">
        <v>394</v>
      </c>
      <c r="I85" s="949">
        <v>1052313000</v>
      </c>
      <c r="J85" s="595"/>
      <c r="K85" s="595"/>
      <c r="L85" s="595"/>
      <c r="M85" s="595"/>
      <c r="N85" s="595"/>
      <c r="O85" s="595"/>
      <c r="P85" s="595"/>
      <c r="Q85" s="595"/>
      <c r="R85" s="595"/>
    </row>
    <row r="86" spans="1:18">
      <c r="A86" s="595">
        <v>2019</v>
      </c>
      <c r="B86" s="595">
        <v>1370</v>
      </c>
      <c r="C86" s="595" t="s">
        <v>792</v>
      </c>
      <c r="D86" s="595">
        <v>755</v>
      </c>
      <c r="E86" s="595">
        <v>55</v>
      </c>
      <c r="F86" s="595" t="s">
        <v>385</v>
      </c>
      <c r="G86" s="595" t="s">
        <v>407</v>
      </c>
      <c r="H86" s="595" t="s">
        <v>395</v>
      </c>
      <c r="I86" s="949">
        <v>48253000</v>
      </c>
      <c r="J86" s="595"/>
      <c r="K86" s="595"/>
      <c r="L86" s="595"/>
      <c r="M86" s="595"/>
      <c r="N86" s="595"/>
      <c r="O86" s="595"/>
      <c r="P86" s="595"/>
      <c r="Q86" s="595"/>
      <c r="R86" s="595"/>
    </row>
    <row r="87" spans="1:18">
      <c r="A87" s="595">
        <v>2019</v>
      </c>
      <c r="B87" s="595">
        <v>1370</v>
      </c>
      <c r="C87" s="595" t="s">
        <v>792</v>
      </c>
      <c r="D87" s="595">
        <v>755</v>
      </c>
      <c r="E87" s="595">
        <v>56</v>
      </c>
      <c r="F87" s="595" t="s">
        <v>385</v>
      </c>
      <c r="G87" s="595" t="s">
        <v>407</v>
      </c>
      <c r="H87" s="595" t="s">
        <v>396</v>
      </c>
      <c r="I87" s="949">
        <v>10413000</v>
      </c>
      <c r="J87" s="595"/>
      <c r="K87" s="595"/>
      <c r="L87" s="595"/>
      <c r="M87" s="595"/>
      <c r="N87" s="595"/>
      <c r="O87" s="595"/>
      <c r="P87" s="595"/>
      <c r="Q87" s="595"/>
      <c r="R87" s="595"/>
    </row>
    <row r="88" spans="1:18">
      <c r="A88" s="595">
        <v>2019</v>
      </c>
      <c r="B88" s="595">
        <v>1370</v>
      </c>
      <c r="C88" s="595" t="s">
        <v>792</v>
      </c>
      <c r="D88" s="595">
        <v>755</v>
      </c>
      <c r="E88" s="595">
        <v>57</v>
      </c>
      <c r="F88" s="595" t="s">
        <v>385</v>
      </c>
      <c r="G88" s="595" t="s">
        <v>407</v>
      </c>
      <c r="H88" s="595" t="s">
        <v>397</v>
      </c>
      <c r="I88" s="949">
        <v>3263418000</v>
      </c>
      <c r="J88" s="595"/>
      <c r="K88" s="595"/>
      <c r="L88" s="595"/>
      <c r="M88" s="595"/>
      <c r="N88" s="595"/>
      <c r="O88" s="595"/>
      <c r="P88" s="595"/>
      <c r="Q88" s="595"/>
      <c r="R88" s="595"/>
    </row>
    <row r="89" spans="1:18">
      <c r="A89" s="595">
        <v>2019</v>
      </c>
      <c r="B89" s="595">
        <v>1370</v>
      </c>
      <c r="C89" s="595" t="s">
        <v>792</v>
      </c>
      <c r="D89" s="595">
        <v>755</v>
      </c>
      <c r="E89" s="595">
        <v>58</v>
      </c>
      <c r="F89" s="595" t="s">
        <v>385</v>
      </c>
      <c r="G89" s="595" t="s">
        <v>407</v>
      </c>
      <c r="H89" s="595" t="s">
        <v>398</v>
      </c>
      <c r="I89" s="949">
        <v>1357438000</v>
      </c>
      <c r="J89" s="595"/>
      <c r="K89" s="595"/>
      <c r="L89" s="595"/>
      <c r="M89" s="595"/>
      <c r="N89" s="595"/>
      <c r="O89" s="595"/>
      <c r="P89" s="595"/>
      <c r="Q89" s="595"/>
      <c r="R89" s="595"/>
    </row>
    <row r="90" spans="1:18">
      <c r="A90" s="595">
        <v>2019</v>
      </c>
      <c r="B90" s="595">
        <v>1370</v>
      </c>
      <c r="C90" s="595" t="s">
        <v>792</v>
      </c>
      <c r="D90" s="595">
        <v>755</v>
      </c>
      <c r="E90" s="595">
        <v>59</v>
      </c>
      <c r="F90" s="595" t="s">
        <v>385</v>
      </c>
      <c r="G90" s="595" t="s">
        <v>407</v>
      </c>
      <c r="H90" s="595" t="s">
        <v>399</v>
      </c>
      <c r="I90" s="949">
        <v>919000</v>
      </c>
      <c r="J90" s="595"/>
      <c r="K90" s="595"/>
      <c r="L90" s="595"/>
      <c r="M90" s="595"/>
      <c r="N90" s="595"/>
      <c r="O90" s="595"/>
      <c r="P90" s="595"/>
      <c r="Q90" s="595"/>
      <c r="R90" s="595"/>
    </row>
    <row r="91" spans="1:18">
      <c r="A91" s="595">
        <v>2019</v>
      </c>
      <c r="B91" s="595">
        <v>1370</v>
      </c>
      <c r="C91" s="595" t="s">
        <v>792</v>
      </c>
      <c r="D91" s="595">
        <v>755</v>
      </c>
      <c r="E91" s="595">
        <v>60</v>
      </c>
      <c r="F91" s="595" t="s">
        <v>385</v>
      </c>
      <c r="G91" s="595" t="s">
        <v>407</v>
      </c>
      <c r="H91" s="595" t="s">
        <v>400</v>
      </c>
      <c r="I91" s="949">
        <v>315925000</v>
      </c>
      <c r="J91" s="595"/>
      <c r="K91" s="595"/>
      <c r="L91" s="595"/>
      <c r="M91" s="595"/>
      <c r="N91" s="595"/>
      <c r="O91" s="595"/>
      <c r="P91" s="595"/>
      <c r="Q91" s="595"/>
      <c r="R91" s="595"/>
    </row>
    <row r="92" spans="1:18">
      <c r="A92" s="595">
        <v>2019</v>
      </c>
      <c r="B92" s="595">
        <v>1370</v>
      </c>
      <c r="C92" s="595" t="s">
        <v>792</v>
      </c>
      <c r="D92" s="595">
        <v>755</v>
      </c>
      <c r="E92" s="595">
        <v>61</v>
      </c>
      <c r="F92" s="595" t="s">
        <v>385</v>
      </c>
      <c r="G92" s="595" t="s">
        <v>407</v>
      </c>
      <c r="H92" s="595" t="s">
        <v>408</v>
      </c>
      <c r="I92" s="949">
        <v>565770000</v>
      </c>
      <c r="J92" s="595"/>
      <c r="K92" s="595"/>
      <c r="L92" s="595"/>
      <c r="M92" s="595"/>
      <c r="N92" s="595"/>
      <c r="O92" s="595"/>
      <c r="P92" s="595"/>
      <c r="Q92" s="595"/>
      <c r="R92" s="595"/>
    </row>
    <row r="93" spans="1:18">
      <c r="A93" s="595">
        <v>2019</v>
      </c>
      <c r="B93" s="595">
        <v>1370</v>
      </c>
      <c r="C93" s="595" t="s">
        <v>792</v>
      </c>
      <c r="D93" s="595">
        <v>755</v>
      </c>
      <c r="E93" s="595">
        <v>62</v>
      </c>
      <c r="F93" s="595" t="s">
        <v>385</v>
      </c>
      <c r="G93" s="595" t="s">
        <v>407</v>
      </c>
      <c r="H93" s="595" t="s">
        <v>409</v>
      </c>
      <c r="I93" s="949">
        <v>2300300000</v>
      </c>
      <c r="J93" s="595"/>
      <c r="K93" s="595"/>
      <c r="L93" s="595"/>
      <c r="M93" s="595"/>
      <c r="N93" s="595"/>
      <c r="O93" s="595"/>
      <c r="P93" s="595"/>
      <c r="Q93" s="595"/>
      <c r="R93" s="595"/>
    </row>
    <row r="94" spans="1:18">
      <c r="A94" s="595">
        <v>2019</v>
      </c>
      <c r="B94" s="595">
        <v>1370</v>
      </c>
      <c r="C94" s="595" t="s">
        <v>792</v>
      </c>
      <c r="D94" s="595">
        <v>755</v>
      </c>
      <c r="E94" s="595">
        <v>63</v>
      </c>
      <c r="F94" s="595" t="s">
        <v>385</v>
      </c>
      <c r="G94" s="595" t="s">
        <v>410</v>
      </c>
      <c r="H94" s="595" t="s">
        <v>402</v>
      </c>
      <c r="I94" s="949">
        <v>129901000</v>
      </c>
      <c r="J94" s="595"/>
      <c r="K94" s="595"/>
      <c r="L94" s="595"/>
      <c r="M94" s="595"/>
      <c r="N94" s="595"/>
      <c r="O94" s="595"/>
      <c r="P94" s="595"/>
      <c r="Q94" s="595"/>
      <c r="R94" s="595"/>
    </row>
    <row r="95" spans="1:18">
      <c r="A95" s="595">
        <v>2019</v>
      </c>
      <c r="B95" s="595">
        <v>1370</v>
      </c>
      <c r="C95" s="595" t="s">
        <v>792</v>
      </c>
      <c r="D95" s="595">
        <v>755</v>
      </c>
      <c r="E95" s="595">
        <v>64</v>
      </c>
      <c r="F95" s="595" t="s">
        <v>385</v>
      </c>
      <c r="G95" s="595" t="s">
        <v>410</v>
      </c>
      <c r="H95" s="595" t="s">
        <v>411</v>
      </c>
      <c r="I95" s="949">
        <v>13769160000</v>
      </c>
      <c r="J95" s="595"/>
      <c r="K95" s="595"/>
      <c r="L95" s="595"/>
      <c r="M95" s="595"/>
      <c r="N95" s="595"/>
      <c r="O95" s="595"/>
      <c r="P95" s="595"/>
      <c r="Q95" s="595"/>
      <c r="R95" s="595"/>
    </row>
    <row r="96" spans="1:18">
      <c r="A96" s="595">
        <v>2019</v>
      </c>
      <c r="B96" s="595">
        <v>1370</v>
      </c>
      <c r="C96" s="595" t="s">
        <v>792</v>
      </c>
      <c r="D96" s="595">
        <v>755</v>
      </c>
      <c r="E96" s="595">
        <v>65</v>
      </c>
      <c r="F96" s="595" t="s">
        <v>385</v>
      </c>
      <c r="G96" s="595" t="s">
        <v>412</v>
      </c>
      <c r="H96" s="595" t="s">
        <v>387</v>
      </c>
      <c r="I96" s="949">
        <v>0</v>
      </c>
      <c r="J96" s="595"/>
      <c r="K96" s="595"/>
      <c r="L96" s="595"/>
      <c r="M96" s="595"/>
      <c r="N96" s="595"/>
      <c r="O96" s="595"/>
      <c r="P96" s="595"/>
      <c r="Q96" s="595"/>
      <c r="R96" s="595"/>
    </row>
    <row r="97" spans="1:18">
      <c r="A97" s="595">
        <v>2019</v>
      </c>
      <c r="B97" s="595">
        <v>1370</v>
      </c>
      <c r="C97" s="595" t="s">
        <v>792</v>
      </c>
      <c r="D97" s="595">
        <v>755</v>
      </c>
      <c r="E97" s="595">
        <v>66</v>
      </c>
      <c r="F97" s="595" t="s">
        <v>385</v>
      </c>
      <c r="G97" s="595" t="s">
        <v>412</v>
      </c>
      <c r="H97" s="595" t="s">
        <v>388</v>
      </c>
      <c r="I97" s="949">
        <v>56468000</v>
      </c>
      <c r="J97" s="595"/>
      <c r="K97" s="595"/>
      <c r="L97" s="595"/>
      <c r="M97" s="595"/>
      <c r="N97" s="595"/>
      <c r="O97" s="595"/>
      <c r="P97" s="595"/>
      <c r="Q97" s="595"/>
      <c r="R97" s="595"/>
    </row>
    <row r="98" spans="1:18">
      <c r="A98" s="595">
        <v>2019</v>
      </c>
      <c r="B98" s="595">
        <v>1370</v>
      </c>
      <c r="C98" s="595" t="s">
        <v>792</v>
      </c>
      <c r="D98" s="595">
        <v>755</v>
      </c>
      <c r="E98" s="595">
        <v>67</v>
      </c>
      <c r="F98" s="595" t="s">
        <v>385</v>
      </c>
      <c r="G98" s="595" t="s">
        <v>412</v>
      </c>
      <c r="H98" s="595" t="s">
        <v>389</v>
      </c>
      <c r="I98" s="949">
        <v>202899000</v>
      </c>
      <c r="J98" s="595"/>
      <c r="K98" s="595"/>
      <c r="L98" s="595"/>
      <c r="M98" s="595"/>
      <c r="N98" s="595"/>
      <c r="O98" s="595"/>
      <c r="P98" s="595"/>
      <c r="Q98" s="595"/>
      <c r="R98" s="595"/>
    </row>
    <row r="99" spans="1:18">
      <c r="A99" s="595">
        <v>2019</v>
      </c>
      <c r="B99" s="595">
        <v>1370</v>
      </c>
      <c r="C99" s="595" t="s">
        <v>792</v>
      </c>
      <c r="D99" s="595">
        <v>755</v>
      </c>
      <c r="E99" s="595">
        <v>68</v>
      </c>
      <c r="F99" s="595" t="s">
        <v>385</v>
      </c>
      <c r="G99" s="595" t="s">
        <v>412</v>
      </c>
      <c r="H99" s="595" t="s">
        <v>390</v>
      </c>
      <c r="I99" s="949">
        <v>1645944000</v>
      </c>
      <c r="J99" s="595"/>
      <c r="K99" s="595"/>
      <c r="L99" s="595"/>
      <c r="M99" s="595"/>
      <c r="N99" s="595"/>
      <c r="O99" s="595"/>
      <c r="P99" s="595"/>
      <c r="Q99" s="595"/>
      <c r="R99" s="595"/>
    </row>
    <row r="100" spans="1:18">
      <c r="A100" s="595">
        <v>2019</v>
      </c>
      <c r="B100" s="595">
        <v>1370</v>
      </c>
      <c r="C100" s="595" t="s">
        <v>792</v>
      </c>
      <c r="D100" s="595">
        <v>755</v>
      </c>
      <c r="E100" s="595">
        <v>69</v>
      </c>
      <c r="F100" s="595" t="s">
        <v>385</v>
      </c>
      <c r="G100" s="595" t="s">
        <v>412</v>
      </c>
      <c r="H100" s="595" t="s">
        <v>391</v>
      </c>
      <c r="I100" s="949">
        <v>99750000</v>
      </c>
      <c r="J100" s="595"/>
      <c r="K100" s="595"/>
      <c r="L100" s="595"/>
      <c r="M100" s="595"/>
      <c r="N100" s="595"/>
      <c r="O100" s="595"/>
      <c r="P100" s="595"/>
      <c r="Q100" s="595"/>
      <c r="R100" s="595"/>
    </row>
    <row r="101" spans="1:18">
      <c r="A101" s="595">
        <v>2019</v>
      </c>
      <c r="B101" s="595">
        <v>1370</v>
      </c>
      <c r="C101" s="595" t="s">
        <v>792</v>
      </c>
      <c r="D101" s="595">
        <v>755</v>
      </c>
      <c r="E101" s="595">
        <v>70</v>
      </c>
      <c r="F101" s="595" t="s">
        <v>385</v>
      </c>
      <c r="G101" s="595" t="s">
        <v>412</v>
      </c>
      <c r="H101" s="595" t="s">
        <v>392</v>
      </c>
      <c r="I101" s="949">
        <v>2447847000</v>
      </c>
      <c r="J101" s="595"/>
      <c r="K101" s="595"/>
      <c r="L101" s="595"/>
      <c r="M101" s="595"/>
      <c r="N101" s="595"/>
      <c r="O101" s="595"/>
      <c r="P101" s="595"/>
      <c r="Q101" s="595"/>
      <c r="R101" s="595"/>
    </row>
    <row r="102" spans="1:18">
      <c r="A102" s="595">
        <v>2019</v>
      </c>
      <c r="B102" s="595">
        <v>1370</v>
      </c>
      <c r="C102" s="595" t="s">
        <v>792</v>
      </c>
      <c r="D102" s="595">
        <v>755</v>
      </c>
      <c r="E102" s="595">
        <v>71</v>
      </c>
      <c r="F102" s="595" t="s">
        <v>385</v>
      </c>
      <c r="G102" s="595" t="s">
        <v>412</v>
      </c>
      <c r="H102" s="595" t="s">
        <v>393</v>
      </c>
      <c r="I102" s="949">
        <v>166820000</v>
      </c>
      <c r="J102" s="595"/>
      <c r="K102" s="595"/>
      <c r="L102" s="595"/>
      <c r="M102" s="595"/>
      <c r="N102" s="595"/>
      <c r="O102" s="595"/>
      <c r="P102" s="595"/>
      <c r="Q102" s="595"/>
      <c r="R102" s="595"/>
    </row>
    <row r="103" spans="1:18">
      <c r="A103" s="595">
        <v>2019</v>
      </c>
      <c r="B103" s="595">
        <v>1370</v>
      </c>
      <c r="C103" s="595" t="s">
        <v>792</v>
      </c>
      <c r="D103" s="595">
        <v>755</v>
      </c>
      <c r="E103" s="595">
        <v>72</v>
      </c>
      <c r="F103" s="595" t="s">
        <v>385</v>
      </c>
      <c r="G103" s="595" t="s">
        <v>412</v>
      </c>
      <c r="H103" s="595" t="s">
        <v>394</v>
      </c>
      <c r="I103" s="949">
        <v>1066673000</v>
      </c>
      <c r="J103" s="595"/>
      <c r="K103" s="595"/>
      <c r="L103" s="595"/>
      <c r="M103" s="595"/>
      <c r="N103" s="595"/>
      <c r="O103" s="595"/>
      <c r="P103" s="595"/>
      <c r="Q103" s="595"/>
      <c r="R103" s="595"/>
    </row>
    <row r="104" spans="1:18">
      <c r="A104" s="595">
        <v>2019</v>
      </c>
      <c r="B104" s="595">
        <v>1370</v>
      </c>
      <c r="C104" s="595" t="s">
        <v>792</v>
      </c>
      <c r="D104" s="595">
        <v>755</v>
      </c>
      <c r="E104" s="595">
        <v>73</v>
      </c>
      <c r="F104" s="595" t="s">
        <v>385</v>
      </c>
      <c r="G104" s="595" t="s">
        <v>412</v>
      </c>
      <c r="H104" s="595" t="s">
        <v>395</v>
      </c>
      <c r="I104" s="949">
        <v>29152000</v>
      </c>
      <c r="J104" s="595"/>
      <c r="K104" s="595"/>
      <c r="L104" s="595"/>
      <c r="M104" s="595"/>
      <c r="N104" s="595"/>
      <c r="O104" s="595"/>
      <c r="P104" s="595"/>
      <c r="Q104" s="595"/>
      <c r="R104" s="595"/>
    </row>
    <row r="105" spans="1:18">
      <c r="A105" s="595">
        <v>2019</v>
      </c>
      <c r="B105" s="595">
        <v>1370</v>
      </c>
      <c r="C105" s="595" t="s">
        <v>792</v>
      </c>
      <c r="D105" s="595">
        <v>755</v>
      </c>
      <c r="E105" s="595">
        <v>74</v>
      </c>
      <c r="F105" s="595" t="s">
        <v>385</v>
      </c>
      <c r="G105" s="595" t="s">
        <v>412</v>
      </c>
      <c r="H105" s="595" t="s">
        <v>396</v>
      </c>
      <c r="I105" s="949">
        <v>10633000</v>
      </c>
      <c r="J105" s="595"/>
      <c r="K105" s="595"/>
      <c r="L105" s="595"/>
      <c r="M105" s="595"/>
      <c r="N105" s="595"/>
      <c r="O105" s="595"/>
      <c r="P105" s="595"/>
      <c r="Q105" s="595"/>
      <c r="R105" s="595"/>
    </row>
    <row r="106" spans="1:18">
      <c r="A106" s="595">
        <v>2019</v>
      </c>
      <c r="B106" s="595">
        <v>1370</v>
      </c>
      <c r="C106" s="595" t="s">
        <v>792</v>
      </c>
      <c r="D106" s="595">
        <v>755</v>
      </c>
      <c r="E106" s="595">
        <v>75</v>
      </c>
      <c r="F106" s="595" t="s">
        <v>385</v>
      </c>
      <c r="G106" s="595" t="s">
        <v>412</v>
      </c>
      <c r="H106" s="595" t="s">
        <v>397</v>
      </c>
      <c r="I106" s="949">
        <v>251081000</v>
      </c>
      <c r="J106" s="595"/>
      <c r="K106" s="595"/>
      <c r="L106" s="595"/>
      <c r="M106" s="595"/>
      <c r="N106" s="595"/>
      <c r="O106" s="595"/>
      <c r="P106" s="595"/>
      <c r="Q106" s="595"/>
      <c r="R106" s="595"/>
    </row>
    <row r="107" spans="1:18">
      <c r="A107" s="595">
        <v>2019</v>
      </c>
      <c r="B107" s="595">
        <v>1370</v>
      </c>
      <c r="C107" s="595" t="s">
        <v>792</v>
      </c>
      <c r="D107" s="595">
        <v>755</v>
      </c>
      <c r="E107" s="595">
        <v>76</v>
      </c>
      <c r="F107" s="595" t="s">
        <v>385</v>
      </c>
      <c r="G107" s="595" t="s">
        <v>412</v>
      </c>
      <c r="H107" s="595" t="s">
        <v>398</v>
      </c>
      <c r="I107" s="949">
        <v>600145000</v>
      </c>
      <c r="J107" s="595"/>
      <c r="K107" s="595"/>
      <c r="L107" s="595"/>
      <c r="M107" s="595"/>
      <c r="N107" s="595"/>
      <c r="O107" s="595"/>
      <c r="P107" s="595"/>
      <c r="Q107" s="595"/>
      <c r="R107" s="595"/>
    </row>
    <row r="108" spans="1:18">
      <c r="A108" s="595">
        <v>2019</v>
      </c>
      <c r="B108" s="595">
        <v>1370</v>
      </c>
      <c r="C108" s="595" t="s">
        <v>792</v>
      </c>
      <c r="D108" s="595">
        <v>755</v>
      </c>
      <c r="E108" s="595">
        <v>77</v>
      </c>
      <c r="F108" s="595" t="s">
        <v>385</v>
      </c>
      <c r="G108" s="595" t="s">
        <v>412</v>
      </c>
      <c r="H108" s="595" t="s">
        <v>399</v>
      </c>
      <c r="I108" s="949">
        <v>1139000</v>
      </c>
      <c r="J108" s="595"/>
      <c r="K108" s="595"/>
      <c r="L108" s="595"/>
      <c r="M108" s="595"/>
      <c r="N108" s="595"/>
      <c r="O108" s="595"/>
      <c r="P108" s="595"/>
      <c r="Q108" s="595"/>
      <c r="R108" s="595"/>
    </row>
    <row r="109" spans="1:18">
      <c r="A109" s="595">
        <v>2019</v>
      </c>
      <c r="B109" s="595">
        <v>1370</v>
      </c>
      <c r="C109" s="595" t="s">
        <v>792</v>
      </c>
      <c r="D109" s="595">
        <v>755</v>
      </c>
      <c r="E109" s="595">
        <v>78</v>
      </c>
      <c r="F109" s="595" t="s">
        <v>385</v>
      </c>
      <c r="G109" s="595" t="s">
        <v>412</v>
      </c>
      <c r="H109" s="595" t="s">
        <v>400</v>
      </c>
      <c r="I109" s="949">
        <v>302062000</v>
      </c>
      <c r="J109" s="595"/>
      <c r="K109" s="595"/>
      <c r="L109" s="595"/>
      <c r="M109" s="595"/>
      <c r="N109" s="595"/>
      <c r="O109" s="595"/>
      <c r="P109" s="595"/>
      <c r="Q109" s="595"/>
      <c r="R109" s="595"/>
    </row>
    <row r="110" spans="1:18">
      <c r="A110" s="595">
        <v>2019</v>
      </c>
      <c r="B110" s="595">
        <v>1370</v>
      </c>
      <c r="C110" s="595" t="s">
        <v>792</v>
      </c>
      <c r="D110" s="595">
        <v>755</v>
      </c>
      <c r="E110" s="595">
        <v>79</v>
      </c>
      <c r="F110" s="595" t="s">
        <v>385</v>
      </c>
      <c r="G110" s="595" t="s">
        <v>412</v>
      </c>
      <c r="H110" s="595" t="s">
        <v>408</v>
      </c>
      <c r="I110" s="949">
        <v>581798000</v>
      </c>
      <c r="J110" s="595"/>
      <c r="K110" s="595"/>
      <c r="L110" s="595"/>
      <c r="M110" s="595"/>
      <c r="N110" s="595"/>
      <c r="O110" s="595"/>
      <c r="P110" s="595"/>
      <c r="Q110" s="595"/>
      <c r="R110" s="595"/>
    </row>
    <row r="111" spans="1:18">
      <c r="A111" s="595">
        <v>2019</v>
      </c>
      <c r="B111" s="595">
        <v>1370</v>
      </c>
      <c r="C111" s="595" t="s">
        <v>792</v>
      </c>
      <c r="D111" s="595">
        <v>755</v>
      </c>
      <c r="E111" s="595">
        <v>80</v>
      </c>
      <c r="F111" s="595" t="s">
        <v>385</v>
      </c>
      <c r="G111" s="595" t="s">
        <v>412</v>
      </c>
      <c r="H111" s="595" t="s">
        <v>409</v>
      </c>
      <c r="I111" s="949">
        <v>2378217000</v>
      </c>
      <c r="J111" s="595"/>
      <c r="K111" s="595"/>
      <c r="L111" s="595"/>
      <c r="M111" s="595"/>
      <c r="N111" s="595"/>
      <c r="O111" s="595"/>
      <c r="P111" s="595"/>
      <c r="Q111" s="595"/>
      <c r="R111" s="595"/>
    </row>
    <row r="112" spans="1:18">
      <c r="A112" s="595">
        <v>2019</v>
      </c>
      <c r="B112" s="595">
        <v>1370</v>
      </c>
      <c r="C112" s="595" t="s">
        <v>792</v>
      </c>
      <c r="D112" s="595">
        <v>755</v>
      </c>
      <c r="E112" s="595">
        <v>81</v>
      </c>
      <c r="F112" s="595" t="s">
        <v>385</v>
      </c>
      <c r="G112" s="595" t="s">
        <v>413</v>
      </c>
      <c r="H112" s="595" t="s">
        <v>402</v>
      </c>
      <c r="I112" s="949">
        <v>61090000</v>
      </c>
      <c r="J112" s="595"/>
      <c r="K112" s="595"/>
      <c r="L112" s="595"/>
      <c r="M112" s="595"/>
      <c r="N112" s="595"/>
      <c r="O112" s="595"/>
      <c r="P112" s="595"/>
      <c r="Q112" s="595"/>
      <c r="R112" s="595"/>
    </row>
    <row r="113" spans="1:18">
      <c r="A113" s="595">
        <v>2019</v>
      </c>
      <c r="B113" s="595">
        <v>1370</v>
      </c>
      <c r="C113" s="595" t="s">
        <v>792</v>
      </c>
      <c r="D113" s="595">
        <v>755</v>
      </c>
      <c r="E113" s="595">
        <v>82</v>
      </c>
      <c r="F113" s="595" t="s">
        <v>385</v>
      </c>
      <c r="G113" s="595" t="s">
        <v>413</v>
      </c>
      <c r="H113" s="595" t="s">
        <v>414</v>
      </c>
      <c r="I113" s="949">
        <v>9901718000</v>
      </c>
      <c r="J113" s="595"/>
      <c r="K113" s="595"/>
      <c r="L113" s="595"/>
      <c r="M113" s="595"/>
      <c r="N113" s="595"/>
      <c r="O113" s="595"/>
      <c r="P113" s="595"/>
      <c r="Q113" s="595"/>
      <c r="R113" s="595"/>
    </row>
    <row r="114" spans="1:18">
      <c r="A114" s="595">
        <v>2019</v>
      </c>
      <c r="B114" s="595">
        <v>1370</v>
      </c>
      <c r="C114" s="595" t="s">
        <v>792</v>
      </c>
      <c r="D114" s="595">
        <v>755</v>
      </c>
      <c r="E114" s="595">
        <v>83</v>
      </c>
      <c r="F114" s="595" t="s">
        <v>377</v>
      </c>
      <c r="G114" s="595" t="s">
        <v>378</v>
      </c>
      <c r="H114" s="595" t="s">
        <v>415</v>
      </c>
      <c r="I114" s="949">
        <v>323904000</v>
      </c>
      <c r="J114" s="595"/>
      <c r="K114" s="595"/>
      <c r="L114" s="595"/>
      <c r="M114" s="595"/>
      <c r="N114" s="595"/>
      <c r="O114" s="595"/>
      <c r="P114" s="595"/>
      <c r="Q114" s="595"/>
      <c r="R114" s="595"/>
    </row>
    <row r="115" spans="1:18">
      <c r="A115" s="595">
        <v>2019</v>
      </c>
      <c r="B115" s="595">
        <v>1370</v>
      </c>
      <c r="C115" s="595" t="s">
        <v>792</v>
      </c>
      <c r="D115" s="595">
        <v>755</v>
      </c>
      <c r="E115" s="595">
        <v>84</v>
      </c>
      <c r="F115" s="595" t="s">
        <v>377</v>
      </c>
      <c r="G115" s="595" t="s">
        <v>378</v>
      </c>
      <c r="H115" s="595" t="s">
        <v>416</v>
      </c>
      <c r="I115" s="949">
        <v>0</v>
      </c>
      <c r="J115" s="595"/>
      <c r="K115" s="595"/>
      <c r="L115" s="595"/>
      <c r="M115" s="595"/>
      <c r="N115" s="595"/>
      <c r="O115" s="595"/>
      <c r="P115" s="595"/>
      <c r="Q115" s="595"/>
      <c r="R115" s="595"/>
    </row>
    <row r="116" spans="1:18">
      <c r="A116" s="595">
        <v>2019</v>
      </c>
      <c r="B116" s="595">
        <v>1370</v>
      </c>
      <c r="C116" s="595" t="s">
        <v>792</v>
      </c>
      <c r="D116" s="595">
        <v>755</v>
      </c>
      <c r="E116" s="595">
        <v>85</v>
      </c>
      <c r="F116" s="595" t="s">
        <v>339</v>
      </c>
      <c r="G116" s="595" t="s">
        <v>340</v>
      </c>
      <c r="H116" s="595" t="s">
        <v>322</v>
      </c>
      <c r="I116" s="949">
        <v>12455233000</v>
      </c>
      <c r="J116" s="595"/>
      <c r="K116" s="595"/>
      <c r="L116" s="595"/>
      <c r="M116" s="595"/>
      <c r="N116" s="595"/>
      <c r="O116" s="595"/>
      <c r="P116" s="595"/>
      <c r="Q116" s="595"/>
      <c r="R116" s="595"/>
    </row>
    <row r="117" spans="1:18">
      <c r="A117" s="595">
        <v>2019</v>
      </c>
      <c r="B117" s="595">
        <v>1370</v>
      </c>
      <c r="C117" s="595" t="s">
        <v>792</v>
      </c>
      <c r="D117" s="595">
        <v>755</v>
      </c>
      <c r="E117" s="595">
        <v>86</v>
      </c>
      <c r="F117" s="595" t="s">
        <v>339</v>
      </c>
      <c r="G117" s="595" t="s">
        <v>340</v>
      </c>
      <c r="H117" s="595" t="s">
        <v>323</v>
      </c>
      <c r="I117" s="949">
        <v>1265597000</v>
      </c>
      <c r="J117" s="595"/>
      <c r="K117" s="595"/>
      <c r="L117" s="595"/>
      <c r="M117" s="595"/>
      <c r="N117" s="595"/>
      <c r="O117" s="595"/>
      <c r="P117" s="595"/>
      <c r="Q117" s="595"/>
      <c r="R117" s="595"/>
    </row>
    <row r="118" spans="1:18">
      <c r="A118" s="595">
        <v>2019</v>
      </c>
      <c r="B118" s="595">
        <v>1370</v>
      </c>
      <c r="C118" s="595" t="s">
        <v>792</v>
      </c>
      <c r="D118" s="595">
        <v>755</v>
      </c>
      <c r="E118" s="595">
        <v>87</v>
      </c>
      <c r="F118" s="595" t="s">
        <v>339</v>
      </c>
      <c r="G118" s="595" t="s">
        <v>341</v>
      </c>
      <c r="H118" s="595" t="s">
        <v>325</v>
      </c>
      <c r="I118" s="949">
        <v>19521160000</v>
      </c>
      <c r="J118" s="595"/>
      <c r="K118" s="595"/>
      <c r="L118" s="595"/>
      <c r="M118" s="595"/>
      <c r="N118" s="595"/>
      <c r="O118" s="595"/>
      <c r="P118" s="595"/>
      <c r="Q118" s="595"/>
      <c r="R118" s="595"/>
    </row>
    <row r="119" spans="1:18">
      <c r="A119" s="595">
        <v>2019</v>
      </c>
      <c r="B119" s="595">
        <v>1370</v>
      </c>
      <c r="C119" s="595" t="s">
        <v>792</v>
      </c>
      <c r="D119" s="595">
        <v>755</v>
      </c>
      <c r="E119" s="595">
        <v>88</v>
      </c>
      <c r="F119" s="595" t="s">
        <v>339</v>
      </c>
      <c r="G119" s="595" t="s">
        <v>341</v>
      </c>
      <c r="H119" s="595" t="s">
        <v>342</v>
      </c>
      <c r="I119" s="949">
        <v>33241990000</v>
      </c>
      <c r="J119" s="595"/>
      <c r="K119" s="595"/>
      <c r="L119" s="595"/>
      <c r="M119" s="595"/>
      <c r="N119" s="595"/>
      <c r="O119" s="595"/>
      <c r="P119" s="595"/>
      <c r="Q119" s="595"/>
      <c r="R119" s="595"/>
    </row>
    <row r="120" spans="1:18">
      <c r="A120" s="595">
        <v>2019</v>
      </c>
      <c r="B120" s="595">
        <v>1370</v>
      </c>
      <c r="C120" s="595" t="s">
        <v>792</v>
      </c>
      <c r="D120" s="595">
        <v>755</v>
      </c>
      <c r="E120" s="595">
        <v>89</v>
      </c>
      <c r="F120" s="595" t="s">
        <v>377</v>
      </c>
      <c r="G120" s="595" t="s">
        <v>378</v>
      </c>
      <c r="H120" s="595" t="s">
        <v>379</v>
      </c>
      <c r="I120" s="949">
        <v>1940000</v>
      </c>
      <c r="J120" s="595"/>
      <c r="K120" s="595"/>
      <c r="L120" s="595"/>
      <c r="M120" s="595"/>
      <c r="N120" s="595"/>
      <c r="O120" s="595"/>
      <c r="P120" s="595"/>
      <c r="Q120" s="595"/>
      <c r="R120" s="595"/>
    </row>
    <row r="121" spans="1:18">
      <c r="A121" s="595">
        <v>2019</v>
      </c>
      <c r="B121" s="595">
        <v>1370</v>
      </c>
      <c r="C121" s="595" t="s">
        <v>792</v>
      </c>
      <c r="D121" s="595">
        <v>755</v>
      </c>
      <c r="E121" s="595">
        <v>98</v>
      </c>
      <c r="F121" s="595" t="s">
        <v>343</v>
      </c>
      <c r="G121" s="595" t="s">
        <v>380</v>
      </c>
      <c r="H121" s="595" t="s">
        <v>381</v>
      </c>
      <c r="I121" s="949">
        <v>258819930000</v>
      </c>
      <c r="J121" s="595"/>
      <c r="K121" s="595"/>
      <c r="L121" s="595"/>
      <c r="M121" s="595"/>
      <c r="N121" s="595"/>
      <c r="O121" s="595"/>
      <c r="P121" s="595"/>
      <c r="Q121" s="595"/>
      <c r="R121" s="595"/>
    </row>
    <row r="122" spans="1:18">
      <c r="A122" s="595">
        <v>2019</v>
      </c>
      <c r="B122" s="595">
        <v>1370</v>
      </c>
      <c r="C122" s="595" t="s">
        <v>792</v>
      </c>
      <c r="D122" s="595">
        <v>755</v>
      </c>
      <c r="E122" s="595">
        <v>99</v>
      </c>
      <c r="F122" s="595" t="s">
        <v>343</v>
      </c>
      <c r="G122" s="595" t="s">
        <v>344</v>
      </c>
      <c r="H122" s="595" t="s">
        <v>322</v>
      </c>
      <c r="I122" s="949">
        <v>1082548746000</v>
      </c>
      <c r="J122" s="595"/>
      <c r="K122" s="595"/>
      <c r="L122" s="595"/>
      <c r="M122" s="595"/>
      <c r="N122" s="595"/>
      <c r="O122" s="595"/>
      <c r="P122" s="595"/>
      <c r="Q122" s="595"/>
      <c r="R122" s="595"/>
    </row>
    <row r="123" spans="1:18">
      <c r="A123" s="595">
        <v>2019</v>
      </c>
      <c r="B123" s="595">
        <v>1370</v>
      </c>
      <c r="C123" s="595" t="s">
        <v>792</v>
      </c>
      <c r="D123" s="595">
        <v>755</v>
      </c>
      <c r="E123" s="595">
        <v>100</v>
      </c>
      <c r="F123" s="595" t="s">
        <v>343</v>
      </c>
      <c r="G123" s="595" t="s">
        <v>344</v>
      </c>
      <c r="H123" s="595" t="s">
        <v>323</v>
      </c>
      <c r="I123" s="949">
        <v>103928927000</v>
      </c>
      <c r="J123" s="595"/>
      <c r="K123" s="595"/>
      <c r="L123" s="595"/>
      <c r="M123" s="595"/>
      <c r="N123" s="595"/>
      <c r="O123" s="595"/>
      <c r="P123" s="595"/>
      <c r="Q123" s="595"/>
      <c r="R123" s="595"/>
    </row>
    <row r="124" spans="1:18">
      <c r="A124" s="595">
        <v>2019</v>
      </c>
      <c r="B124" s="595">
        <v>1370</v>
      </c>
      <c r="C124" s="595" t="s">
        <v>792</v>
      </c>
      <c r="D124" s="595">
        <v>755</v>
      </c>
      <c r="E124" s="595">
        <v>101</v>
      </c>
      <c r="F124" s="595" t="s">
        <v>343</v>
      </c>
      <c r="G124" s="595" t="s">
        <v>344</v>
      </c>
      <c r="H124" s="595" t="s">
        <v>325</v>
      </c>
      <c r="I124" s="949">
        <v>1823178721000</v>
      </c>
      <c r="J124" s="595"/>
      <c r="K124" s="595"/>
      <c r="L124" s="595"/>
      <c r="M124" s="595"/>
      <c r="N124" s="595"/>
      <c r="O124" s="595"/>
      <c r="P124" s="595"/>
      <c r="Q124" s="595"/>
      <c r="R124" s="595"/>
    </row>
    <row r="125" spans="1:18">
      <c r="A125" s="595">
        <v>2019</v>
      </c>
      <c r="B125" s="595">
        <v>1370</v>
      </c>
      <c r="C125" s="595" t="s">
        <v>792</v>
      </c>
      <c r="D125" s="595">
        <v>755</v>
      </c>
      <c r="E125" s="595">
        <v>102</v>
      </c>
      <c r="F125" s="595" t="s">
        <v>343</v>
      </c>
      <c r="G125" s="595" t="s">
        <v>345</v>
      </c>
      <c r="H125" s="595" t="s">
        <v>346</v>
      </c>
      <c r="I125" s="949">
        <v>0</v>
      </c>
      <c r="J125" s="595"/>
      <c r="K125" s="595"/>
      <c r="L125" s="595"/>
      <c r="M125" s="595"/>
      <c r="N125" s="595"/>
      <c r="O125" s="595"/>
      <c r="P125" s="595"/>
      <c r="Q125" s="595"/>
      <c r="R125" s="595"/>
    </row>
    <row r="126" spans="1:18">
      <c r="A126" s="595">
        <v>2019</v>
      </c>
      <c r="B126" s="595">
        <v>1370</v>
      </c>
      <c r="C126" s="595" t="s">
        <v>792</v>
      </c>
      <c r="D126" s="595">
        <v>755</v>
      </c>
      <c r="E126" s="595">
        <v>103</v>
      </c>
      <c r="F126" s="595" t="s">
        <v>343</v>
      </c>
      <c r="G126" s="595" t="s">
        <v>347</v>
      </c>
      <c r="H126" s="595" t="s">
        <v>348</v>
      </c>
      <c r="I126" s="949">
        <v>28199208000</v>
      </c>
      <c r="J126" s="595"/>
      <c r="K126" s="595"/>
      <c r="L126" s="595"/>
      <c r="M126" s="595"/>
      <c r="N126" s="595"/>
      <c r="O126" s="595"/>
      <c r="P126" s="595"/>
      <c r="Q126" s="595"/>
      <c r="R126" s="595"/>
    </row>
    <row r="127" spans="1:18">
      <c r="A127" s="595">
        <v>2019</v>
      </c>
      <c r="B127" s="595">
        <v>1370</v>
      </c>
      <c r="C127" s="595" t="s">
        <v>792</v>
      </c>
      <c r="D127" s="595">
        <v>755</v>
      </c>
      <c r="E127" s="595">
        <v>104</v>
      </c>
      <c r="F127" s="595" t="s">
        <v>343</v>
      </c>
      <c r="G127" s="595" t="s">
        <v>349</v>
      </c>
      <c r="H127" s="595" t="s">
        <v>350</v>
      </c>
      <c r="I127" s="949">
        <v>3296675532000</v>
      </c>
      <c r="J127" s="595"/>
      <c r="K127" s="595"/>
      <c r="L127" s="595"/>
      <c r="M127" s="595"/>
      <c r="N127" s="595"/>
      <c r="O127" s="595"/>
      <c r="P127" s="595"/>
      <c r="Q127" s="595"/>
      <c r="R127" s="595"/>
    </row>
    <row r="128" spans="1:18">
      <c r="A128" s="595">
        <v>2019</v>
      </c>
      <c r="B128" s="595">
        <v>1370</v>
      </c>
      <c r="C128" s="595" t="s">
        <v>792</v>
      </c>
      <c r="D128" s="595">
        <v>755</v>
      </c>
      <c r="E128" s="595">
        <v>105</v>
      </c>
      <c r="F128" s="595" t="s">
        <v>351</v>
      </c>
      <c r="G128" s="595" t="s">
        <v>352</v>
      </c>
      <c r="H128" s="595" t="s">
        <v>353</v>
      </c>
      <c r="I128" s="949">
        <v>2087936000</v>
      </c>
      <c r="J128" s="595"/>
      <c r="K128" s="595"/>
      <c r="L128" s="595"/>
      <c r="M128" s="595"/>
      <c r="N128" s="595"/>
      <c r="O128" s="595"/>
      <c r="P128" s="595"/>
      <c r="Q128" s="595"/>
      <c r="R128" s="595"/>
    </row>
    <row r="129" spans="1:18">
      <c r="A129" s="595">
        <v>2019</v>
      </c>
      <c r="B129" s="595">
        <v>1370</v>
      </c>
      <c r="C129" s="595" t="s">
        <v>792</v>
      </c>
      <c r="D129" s="595">
        <v>755</v>
      </c>
      <c r="E129" s="595">
        <v>106</v>
      </c>
      <c r="F129" s="595" t="s">
        <v>351</v>
      </c>
      <c r="G129" s="595" t="s">
        <v>354</v>
      </c>
      <c r="H129" s="595" t="s">
        <v>355</v>
      </c>
      <c r="I129" s="949">
        <v>27963000</v>
      </c>
      <c r="J129" s="595"/>
      <c r="K129" s="595"/>
      <c r="L129" s="595"/>
      <c r="M129" s="595"/>
      <c r="N129" s="595"/>
      <c r="O129" s="595"/>
      <c r="P129" s="595"/>
      <c r="Q129" s="595"/>
      <c r="R129" s="595"/>
    </row>
    <row r="130" spans="1:18">
      <c r="A130" s="595">
        <v>2019</v>
      </c>
      <c r="B130" s="595">
        <v>1370</v>
      </c>
      <c r="C130" s="595" t="s">
        <v>792</v>
      </c>
      <c r="D130" s="595">
        <v>755</v>
      </c>
      <c r="E130" s="595">
        <v>107</v>
      </c>
      <c r="F130" s="595" t="s">
        <v>351</v>
      </c>
      <c r="G130" s="595" t="s">
        <v>356</v>
      </c>
      <c r="H130" s="595" t="s">
        <v>357</v>
      </c>
      <c r="I130" s="949">
        <v>2115899000</v>
      </c>
      <c r="J130" s="595"/>
      <c r="K130" s="595"/>
      <c r="L130" s="595"/>
      <c r="M130" s="595"/>
      <c r="N130" s="595"/>
      <c r="O130" s="595"/>
      <c r="P130" s="595"/>
      <c r="Q130" s="595"/>
      <c r="R130" s="595"/>
    </row>
    <row r="131" spans="1:18">
      <c r="A131" s="595">
        <v>2019</v>
      </c>
      <c r="B131" s="595">
        <v>1370</v>
      </c>
      <c r="C131" s="595" t="s">
        <v>792</v>
      </c>
      <c r="D131" s="595">
        <v>755</v>
      </c>
      <c r="E131" s="595">
        <v>108</v>
      </c>
      <c r="F131" s="595" t="s">
        <v>358</v>
      </c>
      <c r="G131" s="595" t="s">
        <v>359</v>
      </c>
      <c r="H131" s="595" t="s">
        <v>360</v>
      </c>
      <c r="I131" s="949">
        <v>1614498425000</v>
      </c>
      <c r="J131" s="595"/>
      <c r="K131" s="595"/>
      <c r="L131" s="595"/>
      <c r="M131" s="595"/>
      <c r="N131" s="595"/>
      <c r="O131" s="595"/>
      <c r="P131" s="595"/>
      <c r="Q131" s="595"/>
      <c r="R131" s="595"/>
    </row>
    <row r="132" spans="1:18">
      <c r="A132" s="595">
        <v>2019</v>
      </c>
      <c r="B132" s="595">
        <v>1370</v>
      </c>
      <c r="C132" s="595" t="s">
        <v>792</v>
      </c>
      <c r="D132" s="595">
        <v>755</v>
      </c>
      <c r="E132" s="595">
        <v>109</v>
      </c>
      <c r="F132" s="595" t="s">
        <v>358</v>
      </c>
      <c r="G132" s="595" t="s">
        <v>359</v>
      </c>
      <c r="H132" s="595" t="s">
        <v>361</v>
      </c>
      <c r="I132" s="949">
        <v>0</v>
      </c>
      <c r="J132" s="595"/>
      <c r="K132" s="595"/>
      <c r="L132" s="595"/>
      <c r="M132" s="595"/>
      <c r="N132" s="595"/>
      <c r="O132" s="595"/>
      <c r="P132" s="595"/>
      <c r="Q132" s="595"/>
      <c r="R132" s="595"/>
    </row>
    <row r="133" spans="1:18">
      <c r="A133" s="595">
        <v>2019</v>
      </c>
      <c r="B133" s="595">
        <v>1370</v>
      </c>
      <c r="C133" s="595" t="s">
        <v>792</v>
      </c>
      <c r="D133" s="595">
        <v>755</v>
      </c>
      <c r="E133" s="595">
        <v>110</v>
      </c>
      <c r="F133" s="595" t="s">
        <v>358</v>
      </c>
      <c r="G133" s="595" t="s">
        <v>359</v>
      </c>
      <c r="H133" s="595" t="s">
        <v>362</v>
      </c>
      <c r="I133" s="949">
        <v>1614498425000</v>
      </c>
      <c r="J133" s="595"/>
      <c r="K133" s="595"/>
      <c r="L133" s="595"/>
      <c r="M133" s="595"/>
      <c r="N133" s="595"/>
      <c r="O133" s="595"/>
      <c r="P133" s="595"/>
      <c r="Q133" s="595"/>
      <c r="R133" s="595"/>
    </row>
    <row r="134" spans="1:18">
      <c r="A134" s="595">
        <v>2019</v>
      </c>
      <c r="B134" s="595">
        <v>1370</v>
      </c>
      <c r="C134" s="595" t="s">
        <v>792</v>
      </c>
      <c r="D134" s="595">
        <v>755</v>
      </c>
      <c r="E134" s="595">
        <v>111</v>
      </c>
      <c r="F134" s="595" t="s">
        <v>358</v>
      </c>
      <c r="G134" s="595" t="s">
        <v>363</v>
      </c>
      <c r="H134" s="595" t="s">
        <v>364</v>
      </c>
      <c r="I134" s="949">
        <v>15936472000</v>
      </c>
      <c r="J134" s="595"/>
      <c r="K134" s="595"/>
      <c r="L134" s="595"/>
      <c r="M134" s="595"/>
      <c r="N134" s="595"/>
      <c r="O134" s="595"/>
      <c r="P134" s="595"/>
      <c r="Q134" s="595"/>
      <c r="R134" s="595"/>
    </row>
    <row r="135" spans="1:18">
      <c r="A135" s="595">
        <v>2019</v>
      </c>
      <c r="B135" s="595">
        <v>1370</v>
      </c>
      <c r="C135" s="595" t="s">
        <v>792</v>
      </c>
      <c r="D135" s="595">
        <v>755</v>
      </c>
      <c r="E135" s="595">
        <v>112</v>
      </c>
      <c r="F135" s="595" t="s">
        <v>358</v>
      </c>
      <c r="G135" s="595" t="s">
        <v>363</v>
      </c>
      <c r="H135" s="595" t="s">
        <v>365</v>
      </c>
      <c r="I135" s="949">
        <v>0</v>
      </c>
      <c r="J135" s="595"/>
      <c r="K135" s="595"/>
      <c r="L135" s="595"/>
      <c r="M135" s="595"/>
      <c r="N135" s="595"/>
      <c r="O135" s="595"/>
      <c r="P135" s="595"/>
      <c r="Q135" s="595"/>
      <c r="R135" s="595"/>
    </row>
    <row r="136" spans="1:18">
      <c r="A136" s="595">
        <v>2019</v>
      </c>
      <c r="B136" s="595">
        <v>1370</v>
      </c>
      <c r="C136" s="595" t="s">
        <v>792</v>
      </c>
      <c r="D136" s="595">
        <v>755</v>
      </c>
      <c r="E136" s="595">
        <v>113</v>
      </c>
      <c r="F136" s="595" t="s">
        <v>358</v>
      </c>
      <c r="G136" s="595" t="s">
        <v>363</v>
      </c>
      <c r="H136" s="595" t="s">
        <v>366</v>
      </c>
      <c r="I136" s="949">
        <v>15936472000</v>
      </c>
      <c r="J136" s="595"/>
      <c r="K136" s="595"/>
      <c r="L136" s="595"/>
      <c r="M136" s="595"/>
      <c r="N136" s="595"/>
      <c r="O136" s="595"/>
      <c r="P136" s="595"/>
      <c r="Q136" s="595"/>
      <c r="R136" s="595"/>
    </row>
    <row r="137" spans="1:18">
      <c r="A137" s="595">
        <v>2019</v>
      </c>
      <c r="B137" s="595">
        <v>1370</v>
      </c>
      <c r="C137" s="595" t="s">
        <v>792</v>
      </c>
      <c r="D137" s="595">
        <v>755</v>
      </c>
      <c r="E137" s="595">
        <v>114</v>
      </c>
      <c r="F137" s="595" t="s">
        <v>358</v>
      </c>
      <c r="G137" s="595" t="s">
        <v>367</v>
      </c>
      <c r="H137" s="595" t="s">
        <v>368</v>
      </c>
      <c r="I137" s="949">
        <v>1630434897000</v>
      </c>
      <c r="J137" s="595"/>
      <c r="K137" s="595"/>
      <c r="L137" s="595"/>
      <c r="M137" s="595"/>
      <c r="N137" s="595"/>
      <c r="O137" s="595"/>
      <c r="P137" s="595"/>
      <c r="Q137" s="595"/>
      <c r="R137" s="595"/>
    </row>
    <row r="138" spans="1:18">
      <c r="A138" s="595">
        <v>2019</v>
      </c>
      <c r="B138" s="595">
        <v>1370</v>
      </c>
      <c r="C138" s="595" t="s">
        <v>792</v>
      </c>
      <c r="D138" s="595">
        <v>755</v>
      </c>
      <c r="E138" s="595">
        <v>115</v>
      </c>
      <c r="F138" s="595" t="s">
        <v>369</v>
      </c>
      <c r="G138" s="595" t="s">
        <v>370</v>
      </c>
      <c r="H138" s="595" t="s">
        <v>371</v>
      </c>
      <c r="I138" s="949">
        <v>24079017</v>
      </c>
      <c r="J138" s="595"/>
      <c r="K138" s="595"/>
      <c r="L138" s="595"/>
      <c r="M138" s="595"/>
      <c r="N138" s="595"/>
      <c r="O138" s="595"/>
      <c r="P138" s="595"/>
      <c r="Q138" s="595"/>
      <c r="R138" s="595"/>
    </row>
    <row r="139" spans="1:18">
      <c r="A139" s="595">
        <v>2019</v>
      </c>
      <c r="B139" s="595">
        <v>1370</v>
      </c>
      <c r="C139" s="595" t="s">
        <v>792</v>
      </c>
      <c r="D139" s="595">
        <v>755</v>
      </c>
      <c r="E139" s="595">
        <v>116</v>
      </c>
      <c r="F139" s="595" t="s">
        <v>369</v>
      </c>
      <c r="G139" s="595" t="s">
        <v>372</v>
      </c>
      <c r="H139" s="595" t="s">
        <v>373</v>
      </c>
      <c r="I139" s="949">
        <v>2602155</v>
      </c>
      <c r="J139" s="595"/>
      <c r="K139" s="595"/>
      <c r="L139" s="595"/>
      <c r="M139" s="595"/>
      <c r="N139" s="595"/>
      <c r="O139" s="595"/>
      <c r="P139" s="595"/>
      <c r="Q139" s="595"/>
      <c r="R139" s="595"/>
    </row>
    <row r="140" spans="1:18">
      <c r="A140" s="595">
        <v>2019</v>
      </c>
      <c r="B140" s="595">
        <v>1370</v>
      </c>
      <c r="C140" s="595" t="s">
        <v>792</v>
      </c>
      <c r="D140" s="595">
        <v>755</v>
      </c>
      <c r="E140" s="595">
        <v>117</v>
      </c>
      <c r="F140" s="595" t="s">
        <v>374</v>
      </c>
      <c r="G140" s="595" t="s">
        <v>375</v>
      </c>
      <c r="H140" s="595" t="s">
        <v>376</v>
      </c>
      <c r="I140" s="949">
        <v>8951547</v>
      </c>
      <c r="J140" s="595"/>
      <c r="K140" s="595"/>
      <c r="L140" s="595"/>
      <c r="M140" s="595"/>
      <c r="N140" s="595"/>
      <c r="O140" s="595"/>
      <c r="P140" s="595"/>
      <c r="Q140" s="595"/>
      <c r="R140" s="595"/>
    </row>
    <row r="141" spans="1:18">
      <c r="A141" s="595">
        <v>2019</v>
      </c>
      <c r="B141" s="595">
        <v>1370</v>
      </c>
      <c r="C141" s="595" t="s">
        <v>792</v>
      </c>
      <c r="D141" s="595">
        <v>755</v>
      </c>
      <c r="E141" s="595">
        <v>118</v>
      </c>
      <c r="F141" s="595" t="s">
        <v>417</v>
      </c>
      <c r="G141" s="595" t="s">
        <v>418</v>
      </c>
      <c r="H141" s="595" t="s">
        <v>419</v>
      </c>
      <c r="I141" s="949">
        <v>5551132</v>
      </c>
      <c r="J141" s="595"/>
      <c r="K141" s="595"/>
      <c r="L141" s="595"/>
      <c r="M141" s="595"/>
      <c r="N141" s="595"/>
      <c r="O141" s="595"/>
      <c r="P141" s="595"/>
      <c r="Q141" s="595"/>
      <c r="R141" s="595"/>
    </row>
    <row r="142" spans="1:18">
      <c r="A142" s="595">
        <v>2019</v>
      </c>
      <c r="B142" s="595">
        <v>1370</v>
      </c>
      <c r="C142" s="595" t="s">
        <v>792</v>
      </c>
      <c r="D142" s="595">
        <v>755</v>
      </c>
      <c r="E142" s="595">
        <v>119</v>
      </c>
      <c r="F142" s="595" t="s">
        <v>417</v>
      </c>
      <c r="G142" s="595" t="s">
        <v>418</v>
      </c>
      <c r="H142" s="595" t="s">
        <v>420</v>
      </c>
      <c r="I142" s="949">
        <v>0</v>
      </c>
      <c r="J142" s="595"/>
      <c r="K142" s="595"/>
      <c r="L142" s="595"/>
      <c r="M142" s="595"/>
      <c r="N142" s="595"/>
      <c r="O142" s="595"/>
      <c r="P142" s="595"/>
      <c r="Q142" s="595"/>
      <c r="R142" s="595"/>
    </row>
    <row r="143" spans="1:18">
      <c r="A143" s="595">
        <v>2019</v>
      </c>
      <c r="B143" s="595">
        <v>1370</v>
      </c>
      <c r="C143" s="595" t="s">
        <v>792</v>
      </c>
      <c r="D143" s="595">
        <v>755</v>
      </c>
      <c r="E143" s="595">
        <v>120</v>
      </c>
      <c r="F143" s="595" t="s">
        <v>421</v>
      </c>
      <c r="G143" s="595" t="s">
        <v>422</v>
      </c>
      <c r="H143" s="595" t="s">
        <v>322</v>
      </c>
      <c r="I143" s="949">
        <v>10418656</v>
      </c>
      <c r="J143" s="595"/>
      <c r="K143" s="595"/>
      <c r="L143" s="595"/>
      <c r="M143" s="595"/>
      <c r="N143" s="595"/>
      <c r="O143" s="595"/>
      <c r="P143" s="595"/>
      <c r="Q143" s="595"/>
      <c r="R143" s="595"/>
    </row>
    <row r="144" spans="1:18">
      <c r="A144" s="595">
        <v>2019</v>
      </c>
      <c r="B144" s="595">
        <v>1370</v>
      </c>
      <c r="C144" s="595" t="s">
        <v>792</v>
      </c>
      <c r="D144" s="595">
        <v>755</v>
      </c>
      <c r="E144" s="595">
        <v>121</v>
      </c>
      <c r="F144" s="595" t="s">
        <v>421</v>
      </c>
      <c r="G144" s="595" t="s">
        <v>422</v>
      </c>
      <c r="H144" s="595" t="s">
        <v>323</v>
      </c>
      <c r="I144" s="949">
        <v>15704476</v>
      </c>
      <c r="J144" s="595"/>
      <c r="K144" s="595"/>
      <c r="L144" s="595"/>
      <c r="M144" s="595"/>
      <c r="N144" s="595"/>
      <c r="O144" s="595"/>
      <c r="P144" s="595"/>
      <c r="Q144" s="595"/>
      <c r="R144" s="595"/>
    </row>
    <row r="145" spans="1:18">
      <c r="A145" s="595">
        <v>2019</v>
      </c>
      <c r="B145" s="595">
        <v>1370</v>
      </c>
      <c r="C145" s="595" t="s">
        <v>792</v>
      </c>
      <c r="D145" s="595">
        <v>755</v>
      </c>
      <c r="E145" s="595">
        <v>122</v>
      </c>
      <c r="F145" s="595" t="s">
        <v>421</v>
      </c>
      <c r="G145" s="595" t="s">
        <v>422</v>
      </c>
      <c r="H145" s="595" t="s">
        <v>325</v>
      </c>
      <c r="I145" s="949">
        <v>28069576</v>
      </c>
      <c r="J145" s="595"/>
      <c r="K145" s="595"/>
      <c r="L145" s="595"/>
      <c r="M145" s="595"/>
      <c r="N145" s="595"/>
      <c r="O145" s="595"/>
      <c r="P145" s="595"/>
      <c r="Q145" s="595"/>
      <c r="R145" s="595"/>
    </row>
    <row r="146" spans="1:18">
      <c r="A146" s="595">
        <v>2019</v>
      </c>
      <c r="B146" s="595">
        <v>1370</v>
      </c>
      <c r="C146" s="595" t="s">
        <v>792</v>
      </c>
      <c r="D146" s="595">
        <v>755</v>
      </c>
      <c r="E146" s="595">
        <v>123</v>
      </c>
      <c r="F146" s="595" t="s">
        <v>423</v>
      </c>
      <c r="G146" s="595" t="s">
        <v>424</v>
      </c>
      <c r="H146" s="595" t="s">
        <v>425</v>
      </c>
      <c r="I146" s="949">
        <v>28551701</v>
      </c>
      <c r="J146" s="595"/>
      <c r="K146" s="595"/>
      <c r="L146" s="595"/>
      <c r="M146" s="595"/>
      <c r="N146" s="595"/>
      <c r="O146" s="595"/>
      <c r="P146" s="595"/>
      <c r="Q146" s="595"/>
      <c r="R146" s="595"/>
    </row>
    <row r="147" spans="1:18">
      <c r="A147" s="595">
        <v>2019</v>
      </c>
      <c r="B147" s="595">
        <v>1370</v>
      </c>
      <c r="C147" s="595" t="s">
        <v>792</v>
      </c>
      <c r="D147" s="595">
        <v>755</v>
      </c>
      <c r="E147" s="595">
        <v>124</v>
      </c>
      <c r="F147" s="595" t="s">
        <v>426</v>
      </c>
      <c r="G147" s="595" t="s">
        <v>427</v>
      </c>
      <c r="H147" s="595" t="s">
        <v>428</v>
      </c>
      <c r="I147" s="949">
        <v>13162798</v>
      </c>
      <c r="J147" s="595"/>
      <c r="K147" s="595"/>
      <c r="L147" s="595"/>
      <c r="M147" s="595"/>
      <c r="N147" s="595"/>
      <c r="O147" s="595"/>
      <c r="P147" s="595"/>
      <c r="Q147" s="595"/>
      <c r="R147" s="595"/>
    </row>
    <row r="148" spans="1:18">
      <c r="A148" s="595">
        <v>2019</v>
      </c>
      <c r="B148" s="595">
        <v>1370</v>
      </c>
      <c r="C148" s="595" t="s">
        <v>792</v>
      </c>
      <c r="D148" s="595">
        <v>755</v>
      </c>
      <c r="E148" s="595">
        <v>125</v>
      </c>
      <c r="F148" s="595" t="s">
        <v>429</v>
      </c>
      <c r="G148" s="595" t="s">
        <v>430</v>
      </c>
      <c r="H148" s="595" t="s">
        <v>431</v>
      </c>
      <c r="I148" s="949">
        <v>914249</v>
      </c>
      <c r="J148" s="595"/>
      <c r="K148" s="595"/>
      <c r="L148" s="595"/>
      <c r="M148" s="595"/>
      <c r="N148" s="595"/>
      <c r="O148" s="595"/>
      <c r="P148" s="595"/>
      <c r="Q148" s="595"/>
      <c r="R148" s="595"/>
    </row>
    <row r="149" spans="1:18">
      <c r="A149" s="595">
        <v>2019</v>
      </c>
      <c r="B149" s="595">
        <v>1370</v>
      </c>
      <c r="C149" s="595" t="s">
        <v>792</v>
      </c>
      <c r="D149" s="595">
        <v>755</v>
      </c>
      <c r="E149" s="595">
        <v>126</v>
      </c>
      <c r="F149" s="595" t="s">
        <v>432</v>
      </c>
      <c r="G149" s="595" t="s">
        <v>433</v>
      </c>
      <c r="H149" s="595" t="s">
        <v>434</v>
      </c>
      <c r="I149" s="949">
        <v>31242335</v>
      </c>
      <c r="J149" s="595"/>
      <c r="K149" s="595"/>
      <c r="L149" s="595"/>
      <c r="M149" s="595"/>
      <c r="N149" s="595"/>
      <c r="O149" s="595"/>
      <c r="P149" s="595"/>
      <c r="Q149" s="595"/>
      <c r="R149" s="595"/>
    </row>
    <row r="150" spans="1:18">
      <c r="A150" s="595">
        <v>2019</v>
      </c>
      <c r="B150" s="595">
        <v>1370</v>
      </c>
      <c r="C150" s="595" t="s">
        <v>792</v>
      </c>
      <c r="D150" s="595">
        <v>755</v>
      </c>
      <c r="E150" s="595">
        <v>127</v>
      </c>
      <c r="F150" s="595" t="s">
        <v>432</v>
      </c>
      <c r="G150" s="595" t="s">
        <v>433</v>
      </c>
      <c r="H150" s="595" t="s">
        <v>435</v>
      </c>
      <c r="I150" s="949">
        <v>42792102</v>
      </c>
      <c r="J150" s="595"/>
      <c r="K150" s="595"/>
      <c r="L150" s="595"/>
      <c r="M150" s="595"/>
      <c r="N150" s="595"/>
      <c r="O150" s="595"/>
      <c r="P150" s="595"/>
      <c r="Q150" s="595"/>
      <c r="R150" s="595"/>
    </row>
    <row r="151" spans="1:18">
      <c r="A151" s="595">
        <v>2019</v>
      </c>
      <c r="B151" s="595">
        <v>1370</v>
      </c>
      <c r="C151" s="595" t="s">
        <v>792</v>
      </c>
      <c r="D151" s="595">
        <v>755</v>
      </c>
      <c r="E151" s="595">
        <v>128</v>
      </c>
      <c r="F151" s="595" t="s">
        <v>432</v>
      </c>
      <c r="G151" s="595" t="s">
        <v>433</v>
      </c>
      <c r="H151" s="595" t="s">
        <v>158</v>
      </c>
      <c r="I151" s="949">
        <v>65935278</v>
      </c>
      <c r="J151" s="595"/>
      <c r="K151" s="595"/>
      <c r="L151" s="595"/>
      <c r="M151" s="595"/>
      <c r="N151" s="595"/>
      <c r="O151" s="595"/>
      <c r="P151" s="595"/>
      <c r="Q151" s="595"/>
      <c r="R151" s="595"/>
    </row>
    <row r="152" spans="1:18">
      <c r="A152" s="595">
        <v>2019</v>
      </c>
      <c r="B152" s="595">
        <v>1370</v>
      </c>
      <c r="C152" s="595" t="s">
        <v>792</v>
      </c>
      <c r="D152" s="595">
        <v>755</v>
      </c>
      <c r="E152" s="595">
        <v>129</v>
      </c>
      <c r="F152" s="595" t="s">
        <v>432</v>
      </c>
      <c r="G152" s="595" t="s">
        <v>433</v>
      </c>
      <c r="H152" s="595" t="s">
        <v>436</v>
      </c>
      <c r="I152" s="949">
        <v>139969715</v>
      </c>
      <c r="J152" s="595"/>
      <c r="K152" s="595"/>
      <c r="L152" s="595"/>
      <c r="M152" s="595"/>
      <c r="N152" s="595"/>
      <c r="O152" s="595"/>
      <c r="P152" s="595"/>
      <c r="Q152" s="595"/>
      <c r="R152" s="595"/>
    </row>
    <row r="153" spans="1:18">
      <c r="A153" s="595">
        <v>2019</v>
      </c>
      <c r="B153" s="595">
        <v>1370</v>
      </c>
      <c r="C153" s="595" t="s">
        <v>792</v>
      </c>
      <c r="D153" s="595">
        <v>755</v>
      </c>
      <c r="E153" s="595">
        <v>130</v>
      </c>
      <c r="F153" s="595" t="s">
        <v>437</v>
      </c>
      <c r="G153" s="595" t="s">
        <v>438</v>
      </c>
      <c r="H153" s="595" t="s">
        <v>439</v>
      </c>
      <c r="I153" s="949">
        <v>89345</v>
      </c>
      <c r="J153" s="595"/>
      <c r="K153" s="595"/>
      <c r="L153" s="595"/>
      <c r="M153" s="595"/>
      <c r="N153" s="595"/>
      <c r="O153" s="595"/>
      <c r="P153" s="595"/>
      <c r="Q153" s="595"/>
      <c r="R153" s="595"/>
    </row>
    <row r="154" spans="1:18">
      <c r="A154" s="595">
        <v>2019</v>
      </c>
      <c r="B154" s="595">
        <v>1370</v>
      </c>
      <c r="C154" s="595" t="s">
        <v>792</v>
      </c>
      <c r="D154" s="595">
        <v>755</v>
      </c>
      <c r="E154" s="595">
        <v>131</v>
      </c>
      <c r="F154" s="595" t="s">
        <v>437</v>
      </c>
      <c r="G154" s="595" t="s">
        <v>438</v>
      </c>
      <c r="H154" s="595" t="s">
        <v>440</v>
      </c>
      <c r="I154" s="949">
        <v>715</v>
      </c>
      <c r="J154" s="595"/>
      <c r="K154" s="595"/>
      <c r="L154" s="595"/>
      <c r="M154" s="595"/>
      <c r="N154" s="595"/>
      <c r="O154" s="595"/>
      <c r="P154" s="595"/>
      <c r="Q154" s="595"/>
      <c r="R154" s="595"/>
    </row>
    <row r="155" spans="1:18">
      <c r="A155" s="595">
        <v>2019</v>
      </c>
      <c r="B155" s="595">
        <v>1370</v>
      </c>
      <c r="C155" s="595" t="s">
        <v>792</v>
      </c>
      <c r="D155" s="595">
        <v>755</v>
      </c>
      <c r="E155" s="595">
        <v>132</v>
      </c>
      <c r="F155" s="595" t="s">
        <v>437</v>
      </c>
      <c r="G155" s="595" t="s">
        <v>441</v>
      </c>
      <c r="H155" s="595" t="s">
        <v>442</v>
      </c>
      <c r="I155" s="949">
        <v>677</v>
      </c>
      <c r="J155" s="595"/>
      <c r="K155" s="595"/>
      <c r="L155" s="595"/>
      <c r="M155" s="595"/>
      <c r="N155" s="595"/>
      <c r="O155" s="595"/>
      <c r="P155" s="595"/>
      <c r="Q155" s="595"/>
      <c r="R155" s="595"/>
    </row>
    <row r="156" spans="1:18">
      <c r="A156" s="595">
        <v>2019</v>
      </c>
      <c r="B156" s="595">
        <v>1370</v>
      </c>
      <c r="C156" s="595" t="s">
        <v>792</v>
      </c>
      <c r="D156" s="595">
        <v>755</v>
      </c>
      <c r="E156" s="595">
        <v>133</v>
      </c>
      <c r="F156" s="595" t="s">
        <v>437</v>
      </c>
      <c r="G156" s="595" t="s">
        <v>443</v>
      </c>
      <c r="H156" s="595" t="s">
        <v>444</v>
      </c>
      <c r="I156" s="949">
        <v>90737</v>
      </c>
      <c r="J156" s="595"/>
      <c r="K156" s="595"/>
      <c r="L156" s="595"/>
      <c r="M156" s="595"/>
      <c r="N156" s="595"/>
      <c r="O156" s="595"/>
      <c r="P156" s="595"/>
      <c r="Q156" s="595"/>
      <c r="R156" s="595"/>
    </row>
    <row r="157" spans="1:18">
      <c r="A157" s="595">
        <v>2019</v>
      </c>
      <c r="B157" s="595">
        <v>1370</v>
      </c>
      <c r="C157" s="595" t="s">
        <v>792</v>
      </c>
      <c r="D157" s="595">
        <v>755</v>
      </c>
      <c r="E157" s="595">
        <v>134</v>
      </c>
      <c r="F157" s="595" t="s">
        <v>445</v>
      </c>
      <c r="G157" s="595" t="s">
        <v>446</v>
      </c>
      <c r="H157" s="595" t="s">
        <v>447</v>
      </c>
      <c r="I157" s="949">
        <v>3373</v>
      </c>
      <c r="J157" s="595"/>
      <c r="K157" s="595"/>
      <c r="L157" s="595"/>
      <c r="M157" s="595"/>
      <c r="N157" s="595"/>
      <c r="O157" s="595"/>
      <c r="P157" s="595"/>
      <c r="Q157" s="595"/>
      <c r="R157" s="59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1:Z110"/>
  <sheetViews>
    <sheetView showGridLines="0" topLeftCell="A14" workbookViewId="0">
      <selection activeCell="Q35" sqref="Q35"/>
    </sheetView>
  </sheetViews>
  <sheetFormatPr baseColWidth="10" defaultColWidth="11" defaultRowHeight="16"/>
  <cols>
    <col min="1" max="1" width="29.6640625" customWidth="1"/>
    <col min="2" max="2" width="13.6640625" customWidth="1"/>
    <col min="3" max="3" width="18.33203125" customWidth="1"/>
    <col min="4" max="4" width="17.6640625" customWidth="1"/>
    <col min="5" max="5" width="8.83203125" customWidth="1"/>
    <col min="6" max="6" width="7.83203125" customWidth="1"/>
    <col min="7" max="7" width="2.33203125" customWidth="1"/>
    <col min="8" max="8" width="14" style="249" customWidth="1"/>
    <col min="9" max="9" width="19.1640625" customWidth="1"/>
    <col min="10" max="10" width="17.83203125" customWidth="1"/>
    <col min="11" max="11" width="14.83203125" customWidth="1"/>
    <col min="13" max="13" width="11.83203125" bestFit="1" customWidth="1"/>
    <col min="14" max="14" width="15" bestFit="1" customWidth="1"/>
    <col min="15" max="15" width="11.6640625" bestFit="1" customWidth="1"/>
  </cols>
  <sheetData>
    <row r="1" spans="1:16" ht="24">
      <c r="A1" s="7" t="s">
        <v>179</v>
      </c>
      <c r="B1" s="7"/>
      <c r="C1" s="7"/>
      <c r="D1" s="7"/>
      <c r="E1" s="7"/>
      <c r="F1" s="7"/>
      <c r="G1" s="7"/>
      <c r="H1" s="232"/>
      <c r="I1" s="43"/>
      <c r="J1" s="43"/>
      <c r="K1" s="43"/>
      <c r="L1" s="16"/>
    </row>
    <row r="2" spans="1:16" ht="24">
      <c r="A2" s="8" t="s">
        <v>96</v>
      </c>
      <c r="B2" s="1"/>
      <c r="C2" s="1"/>
      <c r="D2" s="1"/>
      <c r="E2" s="1"/>
      <c r="F2" s="1"/>
      <c r="G2" s="7"/>
      <c r="H2" s="233"/>
      <c r="I2" s="16"/>
      <c r="J2" s="16"/>
      <c r="K2" s="16"/>
      <c r="L2" s="16"/>
    </row>
    <row r="3" spans="1:16" ht="25" thickBot="1">
      <c r="G3" s="7"/>
      <c r="H3" s="234"/>
      <c r="I3" s="16"/>
      <c r="J3" s="16"/>
      <c r="K3" s="16"/>
      <c r="L3" s="16"/>
    </row>
    <row r="4" spans="1:16" ht="24">
      <c r="A4" s="134" t="s">
        <v>114</v>
      </c>
      <c r="B4" s="89"/>
      <c r="C4" s="89"/>
      <c r="D4" s="91"/>
      <c r="G4" s="7"/>
      <c r="H4" s="235" t="s">
        <v>260</v>
      </c>
      <c r="I4" s="148"/>
      <c r="J4" s="148"/>
      <c r="K4" s="148"/>
      <c r="L4" s="148"/>
      <c r="M4" s="148"/>
      <c r="N4" s="148"/>
      <c r="O4" s="149"/>
    </row>
    <row r="5" spans="1:16" ht="4" customHeight="1" thickBot="1">
      <c r="A5" s="97"/>
      <c r="B5" s="98"/>
      <c r="C5" s="98"/>
      <c r="D5" s="99"/>
      <c r="G5" s="7"/>
      <c r="H5" s="236"/>
      <c r="I5" s="98"/>
      <c r="J5" s="98"/>
      <c r="K5" s="98"/>
      <c r="L5" s="98"/>
      <c r="M5" s="98"/>
      <c r="N5" s="98"/>
      <c r="O5" s="99"/>
    </row>
    <row r="6" spans="1:16" ht="14" customHeight="1">
      <c r="A6" s="135" t="s">
        <v>38</v>
      </c>
      <c r="B6" s="136">
        <v>9.3399999999999997E-2</v>
      </c>
      <c r="C6" s="137" t="s">
        <v>215</v>
      </c>
      <c r="D6" s="138"/>
      <c r="G6" s="7"/>
      <c r="H6" s="237" t="s">
        <v>6</v>
      </c>
      <c r="I6" s="214" t="s">
        <v>1</v>
      </c>
      <c r="J6" s="215" t="s">
        <v>115</v>
      </c>
      <c r="K6" s="213" t="s">
        <v>117</v>
      </c>
      <c r="L6" s="214" t="s">
        <v>127</v>
      </c>
      <c r="M6" s="215" t="s">
        <v>126</v>
      </c>
      <c r="N6" s="226"/>
      <c r="O6" s="91"/>
    </row>
    <row r="7" spans="1:16" ht="14" customHeight="1">
      <c r="A7" s="113" t="s">
        <v>113</v>
      </c>
      <c r="B7" s="139">
        <v>20</v>
      </c>
      <c r="C7" s="140" t="s">
        <v>216</v>
      </c>
      <c r="D7" s="115"/>
      <c r="G7" s="7"/>
      <c r="H7" s="238" t="s">
        <v>37</v>
      </c>
      <c r="I7" s="212" t="s">
        <v>230</v>
      </c>
      <c r="J7" s="216" t="s">
        <v>0</v>
      </c>
      <c r="K7" s="211" t="s">
        <v>37</v>
      </c>
      <c r="L7" s="165" t="s">
        <v>119</v>
      </c>
      <c r="M7" s="216" t="s">
        <v>118</v>
      </c>
      <c r="N7" s="227" t="s">
        <v>2</v>
      </c>
      <c r="O7" s="166"/>
    </row>
    <row r="8" spans="1:16" ht="14" customHeight="1">
      <c r="A8" s="113" t="s">
        <v>41</v>
      </c>
      <c r="B8" s="141">
        <f>150*210</f>
        <v>31500</v>
      </c>
      <c r="C8" s="142" t="s">
        <v>217</v>
      </c>
      <c r="D8" s="115"/>
      <c r="G8" s="7"/>
      <c r="H8" s="239">
        <f>LocomotiveData!F7</f>
        <v>218</v>
      </c>
      <c r="I8" s="730">
        <f>J8/H8</f>
        <v>2758036.6972477064</v>
      </c>
      <c r="J8" s="223">
        <f>LocomotiveData!H7</f>
        <v>601252000</v>
      </c>
      <c r="K8" s="217">
        <f>LocomotiveData!F12</f>
        <v>360</v>
      </c>
      <c r="L8" s="760">
        <f t="shared" ref="L8:L13" si="0">M8/K8</f>
        <v>978536.11111111112</v>
      </c>
      <c r="M8" s="218">
        <f>LocomotiveData!H12</f>
        <v>352273000</v>
      </c>
      <c r="N8" s="228">
        <v>2019</v>
      </c>
      <c r="O8" s="138" t="s">
        <v>116</v>
      </c>
    </row>
    <row r="9" spans="1:16" ht="14" customHeight="1">
      <c r="A9" s="117"/>
      <c r="B9" s="143"/>
      <c r="C9" s="144"/>
      <c r="D9" s="119"/>
      <c r="G9" s="7"/>
      <c r="H9" s="240">
        <f>LocomotiveData!F8</f>
        <v>130</v>
      </c>
      <c r="I9" s="758">
        <f t="shared" ref="I9:I12" si="1">J9/H9</f>
        <v>2841861.5384615385</v>
      </c>
      <c r="J9" s="224">
        <f>LocomotiveData!H8</f>
        <v>369442000</v>
      </c>
      <c r="K9" s="219">
        <f>LocomotiveData!F13</f>
        <v>317</v>
      </c>
      <c r="L9" s="761">
        <f t="shared" ref="L9:L12" si="2">M9/K9</f>
        <v>839173.5015772871</v>
      </c>
      <c r="M9" s="220">
        <f>LocomotiveData!H13</f>
        <v>266018000</v>
      </c>
      <c r="N9" s="229">
        <v>2018</v>
      </c>
      <c r="O9" s="115" t="s">
        <v>116</v>
      </c>
    </row>
    <row r="10" spans="1:16" ht="14" customHeight="1">
      <c r="A10" s="113" t="s">
        <v>125</v>
      </c>
      <c r="B10" s="730">
        <f>L13</f>
        <v>898632.25806451612</v>
      </c>
      <c r="C10" s="142"/>
      <c r="D10" s="145"/>
      <c r="G10" s="7"/>
      <c r="H10" s="240">
        <f>LocomotiveData!F9</f>
        <v>214</v>
      </c>
      <c r="I10" s="758">
        <f t="shared" si="1"/>
        <v>2369238.3177570095</v>
      </c>
      <c r="J10" s="224">
        <f>LocomotiveData!H9</f>
        <v>507017000</v>
      </c>
      <c r="K10" s="219">
        <f>LocomotiveData!F14</f>
        <v>332</v>
      </c>
      <c r="L10" s="761">
        <f t="shared" si="2"/>
        <v>705921.68674698798</v>
      </c>
      <c r="M10" s="220">
        <f>LocomotiveData!H14</f>
        <v>234366000</v>
      </c>
      <c r="N10" s="229">
        <v>2017</v>
      </c>
      <c r="O10" s="115" t="s">
        <v>116</v>
      </c>
    </row>
    <row r="11" spans="1:16" ht="14" customHeight="1" thickBot="1">
      <c r="A11" s="146" t="s">
        <v>54</v>
      </c>
      <c r="B11" s="731">
        <f>J13/H13</f>
        <v>2560465.0708353687</v>
      </c>
      <c r="C11" s="147"/>
      <c r="D11" s="121"/>
      <c r="G11" s="7"/>
      <c r="H11" s="240">
        <f>LocomotiveData!F10</f>
        <v>590</v>
      </c>
      <c r="I11" s="758">
        <f t="shared" si="1"/>
        <v>2600150.8474576273</v>
      </c>
      <c r="J11" s="224">
        <f>LocomotiveData!H10</f>
        <v>1534089000</v>
      </c>
      <c r="K11" s="219">
        <f>LocomotiveData!F15</f>
        <v>338</v>
      </c>
      <c r="L11" s="761">
        <f t="shared" si="2"/>
        <v>931902.36686390534</v>
      </c>
      <c r="M11" s="220">
        <f>LocomotiveData!H15</f>
        <v>314983000</v>
      </c>
      <c r="N11" s="229">
        <v>2016</v>
      </c>
      <c r="O11" s="115" t="s">
        <v>116</v>
      </c>
    </row>
    <row r="12" spans="1:16" ht="14" customHeight="1" thickBot="1">
      <c r="A12" s="11"/>
      <c r="B12" s="11"/>
      <c r="C12" s="10" t="s">
        <v>120</v>
      </c>
      <c r="D12" s="11"/>
      <c r="G12" s="7"/>
      <c r="H12" s="241">
        <f>LocomotiveData!F11</f>
        <v>895</v>
      </c>
      <c r="I12" s="759">
        <f t="shared" si="1"/>
        <v>2491030.1675977656</v>
      </c>
      <c r="J12" s="225">
        <f>LocomotiveData!H11</f>
        <v>2229472000</v>
      </c>
      <c r="K12" s="221">
        <f>LocomotiveData!F16</f>
        <v>203</v>
      </c>
      <c r="L12" s="762">
        <f t="shared" si="2"/>
        <v>1109556.6502463054</v>
      </c>
      <c r="M12" s="222">
        <f>LocomotiveData!H16</f>
        <v>225240000</v>
      </c>
      <c r="N12" s="230">
        <v>2015</v>
      </c>
      <c r="O12" s="119" t="s">
        <v>116</v>
      </c>
    </row>
    <row r="13" spans="1:16" ht="14" customHeight="1" thickBot="1">
      <c r="A13" s="19" t="s">
        <v>47</v>
      </c>
      <c r="B13" s="12"/>
      <c r="C13" s="13"/>
      <c r="D13" s="11"/>
      <c r="G13" s="7"/>
      <c r="H13" s="763">
        <f>SUM(H8:H12)</f>
        <v>2047</v>
      </c>
      <c r="I13" s="731">
        <f>J13/H13</f>
        <v>2560465.0708353687</v>
      </c>
      <c r="J13" s="764">
        <f>SUM(J8:J12)</f>
        <v>5241272000</v>
      </c>
      <c r="K13" s="765">
        <f>SUM(K8:K12)</f>
        <v>1550</v>
      </c>
      <c r="L13" s="766">
        <f t="shared" si="0"/>
        <v>898632.25806451612</v>
      </c>
      <c r="M13" s="767">
        <f>SUM(M8:M12)</f>
        <v>1392880000</v>
      </c>
      <c r="N13" s="231"/>
      <c r="O13" s="121"/>
      <c r="P13" s="16"/>
    </row>
    <row r="14" spans="1:16" ht="14" customHeight="1">
      <c r="A14" s="20" t="s">
        <v>475</v>
      </c>
      <c r="B14" s="21"/>
      <c r="C14" s="22"/>
      <c r="D14" s="11"/>
      <c r="G14" s="7"/>
      <c r="H14" s="269" t="s">
        <v>473</v>
      </c>
      <c r="I14" s="38"/>
      <c r="J14" s="16"/>
      <c r="K14" s="16"/>
      <c r="L14" s="16"/>
    </row>
    <row r="15" spans="1:16" ht="14" customHeight="1">
      <c r="A15" s="50" t="s">
        <v>3</v>
      </c>
      <c r="B15" s="431">
        <f>-1*PMT(B6,B7,(B10+B11),(B8))</f>
        <v>388748.97508502787</v>
      </c>
      <c r="C15" s="51"/>
      <c r="D15" s="11"/>
      <c r="G15" s="7"/>
      <c r="H15" s="242"/>
      <c r="I15" s="16"/>
      <c r="J15" s="16"/>
      <c r="K15" s="16"/>
      <c r="L15" s="16"/>
    </row>
    <row r="16" spans="1:16" ht="14" customHeight="1">
      <c r="A16" s="52" t="s">
        <v>4</v>
      </c>
      <c r="B16" s="729">
        <f>B15/365</f>
        <v>1065.0656851644599</v>
      </c>
      <c r="C16" s="53"/>
      <c r="D16" s="11"/>
      <c r="G16" s="7"/>
      <c r="H16" s="243"/>
      <c r="I16" s="16"/>
      <c r="J16" s="16"/>
      <c r="K16" s="16"/>
      <c r="L16" s="16"/>
    </row>
    <row r="17" spans="1:26" ht="14" customHeight="1" thickBot="1">
      <c r="A17" s="24" t="s">
        <v>5</v>
      </c>
      <c r="B17" s="432">
        <f>B16/24</f>
        <v>44.377736881852492</v>
      </c>
      <c r="C17" s="25"/>
      <c r="D17" s="21"/>
      <c r="E17" s="16"/>
      <c r="F17" s="16"/>
      <c r="G17" s="7"/>
      <c r="H17" s="243"/>
      <c r="I17" s="46"/>
      <c r="J17" s="16"/>
      <c r="K17" s="16"/>
      <c r="L17" s="16"/>
    </row>
    <row r="18" spans="1:26" ht="14" customHeight="1">
      <c r="A18" s="11"/>
      <c r="B18" s="11"/>
      <c r="C18" s="11"/>
      <c r="D18" s="21"/>
      <c r="G18" s="7"/>
      <c r="H18" s="233"/>
      <c r="I18" s="16"/>
      <c r="J18" s="16"/>
      <c r="K18" s="16"/>
      <c r="L18" s="16"/>
    </row>
    <row r="19" spans="1:26" ht="15" customHeight="1">
      <c r="A19" s="40" t="s">
        <v>121</v>
      </c>
      <c r="B19" s="11"/>
      <c r="C19" s="11"/>
      <c r="D19" s="21"/>
      <c r="G19" s="7"/>
      <c r="H19" s="233"/>
      <c r="I19" s="16"/>
      <c r="J19" s="16"/>
      <c r="K19" s="16"/>
      <c r="L19" s="16"/>
    </row>
    <row r="20" spans="1:26" ht="4" customHeight="1" thickBot="1">
      <c r="A20" s="9"/>
      <c r="B20" s="11"/>
      <c r="C20" s="11"/>
      <c r="D20" s="21"/>
      <c r="E20" s="11"/>
      <c r="F20" s="11"/>
      <c r="G20" s="7"/>
      <c r="H20" s="244"/>
      <c r="I20" s="16"/>
      <c r="J20" s="16"/>
      <c r="K20" s="16"/>
      <c r="L20" s="16"/>
    </row>
    <row r="21" spans="1:26" ht="25" thickBot="1">
      <c r="A21" s="108" t="s">
        <v>476</v>
      </c>
      <c r="B21" s="109"/>
      <c r="C21" s="110"/>
      <c r="D21" s="21"/>
      <c r="E21" s="11"/>
      <c r="F21" s="11"/>
      <c r="G21" s="7"/>
      <c r="H21" s="245"/>
      <c r="I21" s="88" t="s">
        <v>218</v>
      </c>
      <c r="J21" s="89"/>
      <c r="K21" s="89"/>
      <c r="L21" s="90"/>
      <c r="M21" s="89"/>
      <c r="N21" s="89"/>
      <c r="O21" s="91"/>
    </row>
    <row r="22" spans="1:26" ht="24">
      <c r="A22" s="111" t="s">
        <v>7</v>
      </c>
      <c r="B22" s="268" t="s">
        <v>8</v>
      </c>
      <c r="C22" s="112" t="s">
        <v>63</v>
      </c>
      <c r="D22" s="125"/>
      <c r="E22" s="126" t="s">
        <v>111</v>
      </c>
      <c r="F22" s="127" t="s">
        <v>110</v>
      </c>
      <c r="G22" s="7"/>
      <c r="H22" s="245"/>
      <c r="I22" s="92" t="s">
        <v>163</v>
      </c>
      <c r="J22" s="93" t="s">
        <v>122</v>
      </c>
      <c r="K22" s="93" t="s">
        <v>123</v>
      </c>
      <c r="L22" s="94" t="s">
        <v>164</v>
      </c>
      <c r="M22" s="95"/>
      <c r="N22" s="95" t="s">
        <v>124</v>
      </c>
      <c r="O22" s="96"/>
    </row>
    <row r="23" spans="1:26" ht="14" customHeight="1">
      <c r="A23" s="113" t="s">
        <v>136</v>
      </c>
      <c r="B23" s="114">
        <f>LocomotiveData!X6</f>
        <v>72503000</v>
      </c>
      <c r="C23" s="115" t="s">
        <v>55</v>
      </c>
      <c r="D23" s="128" t="s">
        <v>64</v>
      </c>
      <c r="E23" s="789">
        <f>LocomotiveData!AG6</f>
        <v>25341</v>
      </c>
      <c r="F23" s="129">
        <v>1</v>
      </c>
      <c r="G23" s="7"/>
      <c r="H23" s="246"/>
      <c r="I23" s="313">
        <f>LocomotiveData!AG16</f>
        <v>1252054938</v>
      </c>
      <c r="J23" s="314">
        <f>LocomotiveData!AG12</f>
        <v>444609935</v>
      </c>
      <c r="K23" s="315">
        <f>LocomotiveData!AG24</f>
        <v>24079017</v>
      </c>
      <c r="L23" s="754">
        <f>I23/J23</f>
        <v>2.8160750344006593</v>
      </c>
      <c r="M23" s="755"/>
      <c r="N23" s="756">
        <f>J23/K23</f>
        <v>18.464621500121869</v>
      </c>
      <c r="O23" s="757"/>
      <c r="U23" s="1039"/>
      <c r="V23" s="1035" t="s">
        <v>2</v>
      </c>
      <c r="W23" s="1035" t="s">
        <v>98</v>
      </c>
      <c r="X23" s="1035" t="s">
        <v>99</v>
      </c>
      <c r="Y23" s="1035" t="s">
        <v>100</v>
      </c>
      <c r="Z23" s="1035" t="s">
        <v>101</v>
      </c>
    </row>
    <row r="24" spans="1:26" ht="14" customHeight="1" thickBot="1">
      <c r="A24" s="113" t="s">
        <v>135</v>
      </c>
      <c r="B24" s="116">
        <f>LocomotiveData!X7</f>
        <v>37971000</v>
      </c>
      <c r="C24" s="115" t="s">
        <v>149</v>
      </c>
      <c r="D24" s="78" t="s">
        <v>65</v>
      </c>
      <c r="E24" s="727">
        <f>I26</f>
        <v>2.0708977452417323</v>
      </c>
      <c r="F24" s="130">
        <v>2</v>
      </c>
      <c r="G24" s="7"/>
      <c r="H24" s="233"/>
      <c r="I24" s="97"/>
      <c r="J24" s="98"/>
      <c r="K24" s="98"/>
      <c r="L24" s="98"/>
      <c r="M24" s="98"/>
      <c r="N24" s="98"/>
      <c r="O24" s="99"/>
      <c r="U24" s="1040">
        <f t="shared" ref="U24:U31" si="3">Z24*1000</f>
        <v>62089000</v>
      </c>
      <c r="V24" s="1036">
        <v>2016</v>
      </c>
      <c r="W24" s="1036">
        <v>410</v>
      </c>
      <c r="X24" s="1036">
        <v>28</v>
      </c>
      <c r="Y24" s="1037" t="s">
        <v>109</v>
      </c>
      <c r="Z24" s="1038">
        <v>62089</v>
      </c>
    </row>
    <row r="25" spans="1:26" ht="14" customHeight="1">
      <c r="A25" s="113" t="s">
        <v>18</v>
      </c>
      <c r="B25" s="116">
        <f>LocomotiveData!X8</f>
        <v>115525000</v>
      </c>
      <c r="C25" s="115" t="s">
        <v>62</v>
      </c>
      <c r="D25" s="78" t="s">
        <v>66</v>
      </c>
      <c r="E25" s="728">
        <f>F37</f>
        <v>2.8160750344006593</v>
      </c>
      <c r="F25" s="131">
        <v>3</v>
      </c>
      <c r="G25" s="7"/>
      <c r="H25" s="233"/>
      <c r="I25" s="100" t="s">
        <v>130</v>
      </c>
      <c r="J25" s="752" t="s">
        <v>129</v>
      </c>
      <c r="K25" s="753" t="s">
        <v>128</v>
      </c>
      <c r="L25" s="98"/>
      <c r="M25" s="98"/>
      <c r="N25" s="98"/>
      <c r="O25" s="99"/>
      <c r="U25" s="1040">
        <f t="shared" si="3"/>
        <v>115793000</v>
      </c>
      <c r="V25" s="1036">
        <v>2016</v>
      </c>
      <c r="W25" s="1036">
        <v>410</v>
      </c>
      <c r="X25" s="1036">
        <v>201</v>
      </c>
      <c r="Y25" s="1037" t="s">
        <v>102</v>
      </c>
      <c r="Z25" s="1038">
        <v>115793</v>
      </c>
    </row>
    <row r="26" spans="1:26" ht="14" customHeight="1" thickBot="1">
      <c r="A26" s="113" t="s">
        <v>19</v>
      </c>
      <c r="B26" s="116">
        <f>LocomotiveData!X9</f>
        <v>2195591000</v>
      </c>
      <c r="C26" s="115" t="s">
        <v>56</v>
      </c>
      <c r="D26" s="78" t="s">
        <v>67</v>
      </c>
      <c r="E26" s="194"/>
      <c r="F26" s="131"/>
      <c r="G26" s="7"/>
      <c r="H26" s="233"/>
      <c r="I26" s="751">
        <f>K26/J26</f>
        <v>2.0708977452417323</v>
      </c>
      <c r="J26" s="316">
        <f>LocomotiveData!AG4</f>
        <v>3223915148</v>
      </c>
      <c r="K26" s="317">
        <f>LocomotiveData!AG3</f>
        <v>6676398610.8438654</v>
      </c>
      <c r="L26" s="98"/>
      <c r="M26" s="98"/>
      <c r="N26" s="98"/>
      <c r="O26" s="99"/>
      <c r="U26" s="1040">
        <f t="shared" si="3"/>
        <v>2195731000</v>
      </c>
      <c r="V26" s="1036">
        <v>2016</v>
      </c>
      <c r="W26" s="1036">
        <v>410</v>
      </c>
      <c r="X26" s="1036">
        <v>202</v>
      </c>
      <c r="Y26" s="1037" t="s">
        <v>103</v>
      </c>
      <c r="Z26" s="1038">
        <v>2195731</v>
      </c>
    </row>
    <row r="27" spans="1:26" ht="14" customHeight="1" thickBot="1">
      <c r="A27" s="113" t="s">
        <v>20</v>
      </c>
      <c r="B27" s="116">
        <f>LocomotiveData!X10</f>
        <v>18300000</v>
      </c>
      <c r="C27" s="115" t="s">
        <v>57</v>
      </c>
      <c r="D27" s="132" t="s">
        <v>68</v>
      </c>
      <c r="E27" s="312">
        <v>4.3</v>
      </c>
      <c r="F27" s="133">
        <v>4</v>
      </c>
      <c r="G27" s="7"/>
      <c r="H27" s="247"/>
      <c r="I27" s="97"/>
      <c r="J27" s="98"/>
      <c r="K27" s="98"/>
      <c r="L27" s="98"/>
      <c r="M27" s="98"/>
      <c r="N27" s="98"/>
      <c r="O27" s="99"/>
      <c r="U27" s="1040">
        <f t="shared" si="3"/>
        <v>18568000</v>
      </c>
      <c r="V27" s="1036">
        <v>2016</v>
      </c>
      <c r="W27" s="1036">
        <v>410</v>
      </c>
      <c r="X27" s="1036">
        <v>203</v>
      </c>
      <c r="Y27" s="1037" t="s">
        <v>104</v>
      </c>
      <c r="Z27" s="1038">
        <v>18568</v>
      </c>
    </row>
    <row r="28" spans="1:26" ht="14" customHeight="1">
      <c r="A28" s="113" t="s">
        <v>21</v>
      </c>
      <c r="B28" s="116">
        <f>LocomotiveData!X11</f>
        <v>2391000</v>
      </c>
      <c r="C28" s="115" t="s">
        <v>61</v>
      </c>
      <c r="D28" s="150"/>
      <c r="E28" s="150"/>
      <c r="F28" s="151"/>
      <c r="G28" s="7"/>
      <c r="H28" s="233"/>
      <c r="I28" s="101" t="s">
        <v>160</v>
      </c>
      <c r="J28" s="102"/>
      <c r="K28" s="103" t="s">
        <v>176</v>
      </c>
      <c r="L28" s="104"/>
      <c r="M28" s="105"/>
      <c r="N28" s="98"/>
      <c r="O28" s="99"/>
      <c r="U28" s="1040">
        <f t="shared" si="3"/>
        <v>1755000</v>
      </c>
      <c r="V28" s="1036">
        <v>2016</v>
      </c>
      <c r="W28" s="1036">
        <v>410</v>
      </c>
      <c r="X28" s="1036">
        <v>204</v>
      </c>
      <c r="Y28" s="1037" t="s">
        <v>105</v>
      </c>
      <c r="Z28" s="1038">
        <v>1755</v>
      </c>
    </row>
    <row r="29" spans="1:26" ht="14" customHeight="1" thickBot="1">
      <c r="A29" s="113" t="s">
        <v>22</v>
      </c>
      <c r="B29" s="116">
        <f>LocomotiveData!X12</f>
        <v>306342000</v>
      </c>
      <c r="C29" s="115" t="s">
        <v>58</v>
      </c>
      <c r="D29" s="150" t="s">
        <v>133</v>
      </c>
      <c r="E29" s="150"/>
      <c r="F29" s="151"/>
      <c r="G29" s="7"/>
      <c r="H29" s="248"/>
      <c r="I29" s="744">
        <f>E23*365*24</f>
        <v>221987160</v>
      </c>
      <c r="J29" s="747"/>
      <c r="K29" s="748">
        <f>K23*L23</f>
        <v>67808318.626609057</v>
      </c>
      <c r="L29" s="749"/>
      <c r="M29" s="750"/>
      <c r="N29" s="98"/>
      <c r="O29" s="99"/>
      <c r="U29" s="1040">
        <f t="shared" si="3"/>
        <v>316085000</v>
      </c>
      <c r="V29" s="1036">
        <v>2016</v>
      </c>
      <c r="W29" s="1036">
        <v>410</v>
      </c>
      <c r="X29" s="1036">
        <v>205</v>
      </c>
      <c r="Y29" s="1037" t="s">
        <v>106</v>
      </c>
      <c r="Z29" s="1038">
        <v>316085</v>
      </c>
    </row>
    <row r="30" spans="1:26" ht="14" customHeight="1" thickBot="1">
      <c r="A30" s="113" t="s">
        <v>23</v>
      </c>
      <c r="B30" s="116">
        <f>LocomotiveData!X13</f>
        <v>27269000</v>
      </c>
      <c r="C30" s="115" t="s">
        <v>59</v>
      </c>
      <c r="D30" s="150" t="s">
        <v>132</v>
      </c>
      <c r="E30" s="150"/>
      <c r="F30" s="151"/>
      <c r="G30" s="7"/>
      <c r="H30" s="233"/>
      <c r="I30" s="97"/>
      <c r="J30" s="98"/>
      <c r="K30" s="98"/>
      <c r="L30" s="98"/>
      <c r="M30" s="98"/>
      <c r="N30" s="98"/>
      <c r="O30" s="99"/>
      <c r="U30" s="1040">
        <f t="shared" si="3"/>
        <v>33377000</v>
      </c>
      <c r="V30" s="1036">
        <v>2016</v>
      </c>
      <c r="W30" s="1036">
        <v>410</v>
      </c>
      <c r="X30" s="1036">
        <v>206</v>
      </c>
      <c r="Y30" s="1037" t="s">
        <v>107</v>
      </c>
      <c r="Z30" s="1038">
        <v>33377</v>
      </c>
    </row>
    <row r="31" spans="1:26" ht="14" customHeight="1">
      <c r="A31" s="113" t="s">
        <v>137</v>
      </c>
      <c r="B31" s="116">
        <f>LocomotiveData!X14</f>
        <v>461493000</v>
      </c>
      <c r="C31" s="115" t="s">
        <v>144</v>
      </c>
      <c r="D31" s="150" t="s">
        <v>134</v>
      </c>
      <c r="E31" s="150"/>
      <c r="F31" s="151"/>
      <c r="G31" s="7"/>
      <c r="H31" s="233"/>
      <c r="I31" s="101" t="s">
        <v>161</v>
      </c>
      <c r="J31" s="106"/>
      <c r="K31" s="78"/>
      <c r="L31" s="78"/>
      <c r="M31" s="98"/>
      <c r="N31" s="98"/>
      <c r="O31" s="99"/>
      <c r="U31" s="1040">
        <f t="shared" si="3"/>
        <v>-68916000</v>
      </c>
      <c r="V31" s="1036">
        <v>2016</v>
      </c>
      <c r="W31" s="1036">
        <v>410</v>
      </c>
      <c r="X31" s="1036">
        <v>216</v>
      </c>
      <c r="Y31" s="1037" t="s">
        <v>108</v>
      </c>
      <c r="Z31" s="1038">
        <v>-68916</v>
      </c>
    </row>
    <row r="32" spans="1:26" ht="14" customHeight="1" thickBot="1">
      <c r="A32" s="113" t="s">
        <v>138</v>
      </c>
      <c r="B32" s="116">
        <f>LocomotiveData!X15</f>
        <v>-35475000</v>
      </c>
      <c r="C32" s="115" t="s">
        <v>143</v>
      </c>
      <c r="D32" s="152" t="s">
        <v>70</v>
      </c>
      <c r="E32" s="152"/>
      <c r="F32" s="153"/>
      <c r="G32" s="7"/>
      <c r="H32" s="233"/>
      <c r="I32" s="744">
        <f>I29-K29</f>
        <v>154178841.37339094</v>
      </c>
      <c r="J32" s="746"/>
      <c r="K32" s="78"/>
      <c r="L32" s="78"/>
      <c r="M32" s="98"/>
      <c r="N32" s="98"/>
      <c r="O32" s="99"/>
    </row>
    <row r="33" spans="1:15" ht="14" customHeight="1" thickBot="1">
      <c r="A33" s="113" t="s">
        <v>139</v>
      </c>
      <c r="B33" s="116">
        <f>LocomotiveData!X16</f>
        <v>266000</v>
      </c>
      <c r="C33" s="115" t="s">
        <v>150</v>
      </c>
      <c r="D33" s="724" t="s">
        <v>1696</v>
      </c>
      <c r="E33" s="725"/>
      <c r="F33" s="726"/>
      <c r="G33" s="7"/>
      <c r="H33" s="233"/>
      <c r="I33" s="97"/>
      <c r="J33" s="98"/>
      <c r="K33" s="98"/>
      <c r="L33" s="98"/>
      <c r="M33" s="98"/>
      <c r="N33" s="98"/>
      <c r="O33" s="99"/>
    </row>
    <row r="34" spans="1:15" ht="15" customHeight="1">
      <c r="A34" s="113" t="s">
        <v>140</v>
      </c>
      <c r="B34" s="116">
        <f>LocomotiveData!X17</f>
        <v>0</v>
      </c>
      <c r="C34" s="115" t="s">
        <v>151</v>
      </c>
      <c r="D34" s="48" t="s">
        <v>322</v>
      </c>
      <c r="E34" s="719"/>
      <c r="F34" s="769">
        <f>LocomotiveData!AG27</f>
        <v>3.1061731211319832</v>
      </c>
      <c r="G34" s="7"/>
      <c r="H34" s="233"/>
      <c r="I34" s="101" t="s">
        <v>1825</v>
      </c>
      <c r="J34" s="106"/>
      <c r="K34" s="78"/>
      <c r="L34" s="78"/>
      <c r="M34" s="98"/>
      <c r="N34" s="98"/>
      <c r="O34" s="99"/>
    </row>
    <row r="35" spans="1:15" ht="16.75" customHeight="1" thickBot="1">
      <c r="A35" s="113" t="s">
        <v>141</v>
      </c>
      <c r="B35" s="116">
        <f>LocomotiveData!X18</f>
        <v>12974000</v>
      </c>
      <c r="C35" s="115" t="s">
        <v>148</v>
      </c>
      <c r="D35" s="720" t="s">
        <v>323</v>
      </c>
      <c r="E35" s="719"/>
      <c r="F35" s="770">
        <f>LocomotiveData!AG28</f>
        <v>1.8090242622717929</v>
      </c>
      <c r="G35" s="7"/>
      <c r="I35" s="744">
        <f>E27*I32</f>
        <v>662969017.905581</v>
      </c>
      <c r="J35" s="746"/>
      <c r="K35" s="78"/>
      <c r="L35" s="78"/>
      <c r="M35" s="98"/>
      <c r="N35" s="98"/>
      <c r="O35" s="99"/>
    </row>
    <row r="36" spans="1:15" ht="14" customHeight="1" thickBot="1">
      <c r="A36" s="113" t="s">
        <v>142</v>
      </c>
      <c r="B36" s="116">
        <f>LocomotiveData!X19</f>
        <v>-40764000</v>
      </c>
      <c r="C36" s="115" t="s">
        <v>147</v>
      </c>
      <c r="D36" s="721" t="s">
        <v>325</v>
      </c>
      <c r="E36" s="579"/>
      <c r="F36" s="771">
        <f>LocomotiveData!AG29</f>
        <v>2.8598379334087625</v>
      </c>
      <c r="G36" s="7"/>
      <c r="I36" s="97"/>
      <c r="J36" s="98"/>
      <c r="K36" s="98"/>
      <c r="L36" s="98"/>
      <c r="M36" s="98"/>
      <c r="N36" s="98"/>
      <c r="O36" s="99"/>
    </row>
    <row r="37" spans="1:15" ht="14" customHeight="1" thickBot="1">
      <c r="A37" s="113" t="s">
        <v>145</v>
      </c>
      <c r="B37" s="116">
        <v>0</v>
      </c>
      <c r="C37" s="115" t="s">
        <v>146</v>
      </c>
      <c r="D37" s="722" t="s">
        <v>1593</v>
      </c>
      <c r="E37" s="723"/>
      <c r="F37" s="772">
        <f>LocomotiveData!AG30</f>
        <v>2.8160750344006593</v>
      </c>
      <c r="G37" s="7"/>
      <c r="I37" s="101" t="s">
        <v>180</v>
      </c>
      <c r="J37" s="106"/>
      <c r="K37" s="78"/>
      <c r="L37" s="78"/>
      <c r="M37" s="98"/>
      <c r="N37" s="98"/>
      <c r="O37" s="99"/>
    </row>
    <row r="38" spans="1:15" ht="14" customHeight="1" thickBot="1">
      <c r="A38" s="113" t="s">
        <v>152</v>
      </c>
      <c r="B38" s="116">
        <f>LocomotiveData!X21</f>
        <v>5673000</v>
      </c>
      <c r="C38" s="115" t="s">
        <v>154</v>
      </c>
      <c r="D38" s="768" t="s">
        <v>1697</v>
      </c>
      <c r="E38" s="11"/>
      <c r="F38" s="11"/>
      <c r="G38" s="7"/>
      <c r="I38" s="744">
        <f>J26-I35</f>
        <v>2560946130.094419</v>
      </c>
      <c r="J38" s="745" t="s">
        <v>162</v>
      </c>
      <c r="K38" s="78"/>
      <c r="L38" s="78"/>
      <c r="M38" s="98"/>
      <c r="N38" s="98"/>
      <c r="O38" s="99"/>
    </row>
    <row r="39" spans="1:15" ht="14" customHeight="1" thickBot="1">
      <c r="A39" s="113" t="s">
        <v>153</v>
      </c>
      <c r="B39" s="116">
        <f>LocomotiveData!X22</f>
        <v>0</v>
      </c>
      <c r="C39" s="115" t="s">
        <v>155</v>
      </c>
      <c r="D39" s="16"/>
      <c r="E39" s="21"/>
      <c r="F39" s="21"/>
      <c r="G39" s="7"/>
      <c r="I39" s="97"/>
      <c r="J39" s="98"/>
      <c r="K39" s="98"/>
      <c r="L39" s="98"/>
      <c r="M39" s="98"/>
      <c r="N39" s="98"/>
      <c r="O39" s="99"/>
    </row>
    <row r="40" spans="1:15" ht="18" customHeight="1">
      <c r="A40" s="113" t="s">
        <v>24</v>
      </c>
      <c r="B40" s="116">
        <f>LocomotiveData!X23</f>
        <v>-108666000</v>
      </c>
      <c r="C40" s="115" t="s">
        <v>60</v>
      </c>
      <c r="D40" s="21"/>
      <c r="E40" s="11"/>
      <c r="F40" s="11"/>
      <c r="G40" s="7"/>
      <c r="I40" s="101" t="s">
        <v>181</v>
      </c>
      <c r="J40" s="106"/>
      <c r="K40" s="78"/>
      <c r="L40" s="78"/>
      <c r="M40" s="98"/>
      <c r="N40" s="98"/>
      <c r="O40" s="99"/>
    </row>
    <row r="41" spans="1:15" ht="14" customHeight="1" thickBot="1">
      <c r="A41" s="113" t="s">
        <v>156</v>
      </c>
      <c r="B41" s="116">
        <f>LocomotiveData!X24</f>
        <v>0</v>
      </c>
      <c r="C41" s="115" t="s">
        <v>157</v>
      </c>
      <c r="D41" s="21"/>
      <c r="E41" s="11"/>
      <c r="F41" s="11"/>
      <c r="G41" s="7"/>
      <c r="I41" s="742">
        <f>I38/K23</f>
        <v>106.3559251648196</v>
      </c>
      <c r="J41" s="743" t="s">
        <v>162</v>
      </c>
      <c r="K41" s="78"/>
      <c r="L41" s="78"/>
      <c r="M41" s="98"/>
      <c r="N41" s="98"/>
      <c r="O41" s="99"/>
    </row>
    <row r="42" spans="1:15" ht="14" customHeight="1" thickBot="1">
      <c r="A42" s="117" t="s">
        <v>158</v>
      </c>
      <c r="B42" s="118">
        <f>LocomotiveData!X25</f>
        <v>144093000</v>
      </c>
      <c r="C42" s="119" t="s">
        <v>159</v>
      </c>
      <c r="D42" s="21"/>
      <c r="E42" s="11"/>
      <c r="F42" s="11"/>
      <c r="G42" s="7"/>
      <c r="I42" s="97"/>
      <c r="J42" s="98"/>
      <c r="K42" s="98"/>
      <c r="L42" s="98"/>
      <c r="M42" s="98"/>
      <c r="N42" s="98"/>
      <c r="O42" s="99"/>
    </row>
    <row r="43" spans="1:15" ht="14" customHeight="1" thickBot="1">
      <c r="A43" s="120" t="s">
        <v>131</v>
      </c>
      <c r="B43" s="731">
        <f>SUM(B23:B42)</f>
        <v>3215486000</v>
      </c>
      <c r="C43" s="121"/>
      <c r="D43" s="21"/>
      <c r="E43" s="11"/>
      <c r="F43" s="11"/>
      <c r="G43" s="7"/>
      <c r="I43" s="101" t="s">
        <v>177</v>
      </c>
      <c r="J43" s="102"/>
      <c r="K43" s="103" t="s">
        <v>178</v>
      </c>
      <c r="L43" s="104"/>
      <c r="M43" s="104"/>
      <c r="N43" s="105"/>
      <c r="O43" s="99"/>
    </row>
    <row r="44" spans="1:15" ht="14" customHeight="1" thickBot="1">
      <c r="A44" s="271" t="s">
        <v>474</v>
      </c>
      <c r="B44" s="270"/>
      <c r="C44" s="78"/>
      <c r="D44" s="21"/>
      <c r="E44" s="11"/>
      <c r="F44" s="11"/>
      <c r="G44" s="7"/>
      <c r="H44" s="233"/>
      <c r="I44" s="184">
        <f>I41*E24</f>
        <v>220.25224561692332</v>
      </c>
      <c r="J44" s="738"/>
      <c r="K44" s="739">
        <f>I44/L23</f>
        <v>78.212491828648751</v>
      </c>
      <c r="L44" s="740"/>
      <c r="M44" s="740"/>
      <c r="N44" s="741"/>
      <c r="O44" s="107"/>
    </row>
    <row r="45" spans="1:15" ht="15" customHeight="1">
      <c r="B45" s="77"/>
      <c r="C45" s="122"/>
      <c r="D45" s="21"/>
      <c r="E45" s="11"/>
      <c r="F45" s="11"/>
      <c r="G45" s="7"/>
      <c r="H45" s="233"/>
      <c r="I45" s="271" t="s">
        <v>472</v>
      </c>
      <c r="J45" s="16"/>
      <c r="K45" s="16"/>
    </row>
    <row r="46" spans="1:15" ht="14" customHeight="1">
      <c r="A46" s="123" t="s">
        <v>27</v>
      </c>
      <c r="B46" s="732">
        <f>E27*E24</f>
        <v>8.904860304539449</v>
      </c>
      <c r="C46" s="124"/>
      <c r="D46" s="21"/>
      <c r="E46" s="11"/>
      <c r="F46" s="11"/>
      <c r="G46" s="7"/>
      <c r="H46" s="233"/>
      <c r="I46" s="16"/>
      <c r="J46" s="16"/>
      <c r="K46" s="16"/>
      <c r="L46" s="16"/>
    </row>
    <row r="47" spans="1:15" ht="14" customHeight="1" thickBot="1">
      <c r="D47" s="21"/>
      <c r="E47" s="11"/>
      <c r="F47" s="11"/>
      <c r="G47" s="7"/>
      <c r="H47" s="233"/>
      <c r="I47" s="16"/>
      <c r="J47" s="16"/>
      <c r="K47" s="16"/>
      <c r="L47" s="16"/>
    </row>
    <row r="48" spans="1:15" ht="15" customHeight="1" thickBot="1">
      <c r="A48" s="72" t="s">
        <v>71</v>
      </c>
      <c r="B48" s="73" t="s">
        <v>166</v>
      </c>
      <c r="C48" s="74" t="s">
        <v>167</v>
      </c>
      <c r="D48" s="21"/>
      <c r="E48" s="11"/>
      <c r="F48" s="11"/>
      <c r="G48" s="7"/>
      <c r="L48" s="16"/>
    </row>
    <row r="49" spans="1:12" ht="15" customHeight="1">
      <c r="A49" s="75" t="s">
        <v>168</v>
      </c>
      <c r="B49" s="733">
        <f>B43/E23</f>
        <v>126888.67842626573</v>
      </c>
      <c r="C49" s="734">
        <f>B49</f>
        <v>126888.67842626573</v>
      </c>
      <c r="D49" s="10" t="s">
        <v>72</v>
      </c>
      <c r="E49" s="11"/>
      <c r="F49" s="11"/>
      <c r="G49" s="7"/>
      <c r="L49" s="16"/>
    </row>
    <row r="50" spans="1:12" ht="15" customHeight="1">
      <c r="A50" s="75" t="s">
        <v>169</v>
      </c>
      <c r="B50" s="733">
        <f>B49/365</f>
        <v>347.64021486648147</v>
      </c>
      <c r="C50" s="734">
        <f>B50</f>
        <v>347.64021486648147</v>
      </c>
      <c r="D50" s="10" t="s">
        <v>73</v>
      </c>
      <c r="E50" s="11"/>
      <c r="F50" s="11"/>
      <c r="G50" s="7"/>
    </row>
    <row r="51" spans="1:12" ht="15" customHeight="1" thickBot="1">
      <c r="A51" s="76" t="s">
        <v>170</v>
      </c>
      <c r="B51" s="735">
        <f>B46+(B50/24)</f>
        <v>23.38986925730951</v>
      </c>
      <c r="C51" s="736">
        <f>C50/24+K44</f>
        <v>92.69750078141881</v>
      </c>
      <c r="D51" s="45" t="s">
        <v>74</v>
      </c>
      <c r="E51" s="11"/>
      <c r="F51" s="11"/>
      <c r="G51" s="7"/>
    </row>
    <row r="52" spans="1:12" ht="15" customHeight="1" thickBot="1">
      <c r="A52" s="77"/>
      <c r="B52" s="77"/>
      <c r="C52" s="78"/>
      <c r="D52" s="21"/>
      <c r="E52" s="11"/>
      <c r="F52" s="11"/>
      <c r="G52" s="7"/>
    </row>
    <row r="53" spans="1:12" ht="15" customHeight="1" thickBot="1">
      <c r="A53" s="79" t="s">
        <v>165</v>
      </c>
      <c r="B53" s="73" t="s">
        <v>171</v>
      </c>
      <c r="C53" s="74" t="s">
        <v>167</v>
      </c>
      <c r="D53" s="21"/>
      <c r="E53" s="11"/>
      <c r="F53" s="11"/>
      <c r="G53" s="7"/>
    </row>
    <row r="54" spans="1:12" ht="15" customHeight="1">
      <c r="A54" s="80" t="s">
        <v>49</v>
      </c>
      <c r="B54" s="733">
        <f>B49+B15</f>
        <v>515637.65351129358</v>
      </c>
      <c r="C54" s="737">
        <f>C49+B15</f>
        <v>515637.65351129358</v>
      </c>
      <c r="D54" s="21"/>
      <c r="E54" s="11"/>
      <c r="F54" s="11"/>
      <c r="G54" s="7"/>
    </row>
    <row r="55" spans="1:12" ht="15" customHeight="1">
      <c r="A55" s="80" t="s">
        <v>50</v>
      </c>
      <c r="B55" s="733">
        <f>B50+B16</f>
        <v>1412.7059000309414</v>
      </c>
      <c r="C55" s="734">
        <f>C50+B16</f>
        <v>1412.7059000309414</v>
      </c>
      <c r="D55" s="21"/>
      <c r="E55" s="11"/>
      <c r="F55" s="11"/>
      <c r="G55" s="7"/>
    </row>
    <row r="56" spans="1:12" ht="15" customHeight="1" thickBot="1">
      <c r="A56" s="81" t="s">
        <v>51</v>
      </c>
      <c r="B56" s="735">
        <f>B51+B17</f>
        <v>67.767606139161998</v>
      </c>
      <c r="C56" s="736">
        <f>C51+B17</f>
        <v>137.07523766327131</v>
      </c>
      <c r="D56" s="21"/>
      <c r="E56" s="11"/>
      <c r="F56" s="11"/>
      <c r="G56" s="7"/>
    </row>
    <row r="57" spans="1:12" ht="30" customHeight="1" thickBot="1">
      <c r="A57" s="77"/>
      <c r="B57" s="77"/>
      <c r="C57" s="78"/>
      <c r="D57" s="21"/>
      <c r="E57" s="11"/>
      <c r="F57" s="11"/>
      <c r="G57" s="7"/>
    </row>
    <row r="58" spans="1:12" ht="32" customHeight="1" thickBot="1">
      <c r="A58" s="79" t="s">
        <v>173</v>
      </c>
      <c r="B58" s="82" t="s">
        <v>172</v>
      </c>
      <c r="C58" s="83" t="s">
        <v>174</v>
      </c>
      <c r="D58" s="21"/>
      <c r="E58" s="11"/>
      <c r="F58" s="11"/>
      <c r="G58" s="7"/>
    </row>
    <row r="59" spans="1:12" ht="15" customHeight="1">
      <c r="A59" s="80" t="s">
        <v>175</v>
      </c>
      <c r="B59" s="84">
        <f>E25</f>
        <v>2.8160750344006593</v>
      </c>
      <c r="C59" s="85">
        <f>E25</f>
        <v>2.8160750344006593</v>
      </c>
      <c r="D59" s="21"/>
      <c r="E59" s="11"/>
      <c r="F59" s="11"/>
      <c r="G59" s="7"/>
    </row>
    <row r="60" spans="1:12" ht="25" thickBot="1">
      <c r="A60" s="81" t="s">
        <v>75</v>
      </c>
      <c r="B60" s="86">
        <f>ROUND(B56*B59,2)</f>
        <v>190.84</v>
      </c>
      <c r="C60" s="87">
        <f>ROUND(C59*C56,2)</f>
        <v>386.01</v>
      </c>
      <c r="D60" s="21"/>
      <c r="E60" s="11"/>
      <c r="F60" s="11"/>
      <c r="G60" s="7"/>
    </row>
    <row r="61" spans="1:12" ht="24">
      <c r="A61" s="11"/>
      <c r="B61" s="11"/>
      <c r="C61" s="11"/>
      <c r="D61" s="21"/>
      <c r="E61" s="11"/>
      <c r="F61" s="11"/>
      <c r="G61" s="7"/>
    </row>
    <row r="62" spans="1:12" ht="24">
      <c r="A62" s="11"/>
      <c r="B62" s="11"/>
      <c r="C62" s="11"/>
      <c r="D62" s="21"/>
      <c r="E62" s="11"/>
      <c r="F62" s="11"/>
      <c r="G62" s="7"/>
    </row>
    <row r="63" spans="1:12" ht="24">
      <c r="A63" s="11"/>
      <c r="B63" s="11"/>
      <c r="C63" s="11"/>
      <c r="D63" s="21"/>
      <c r="E63" s="11"/>
      <c r="F63" s="11"/>
      <c r="G63" s="7"/>
    </row>
    <row r="64" spans="1:12" ht="24">
      <c r="A64" s="11"/>
      <c r="B64" s="11"/>
      <c r="C64" s="11"/>
      <c r="D64" s="21"/>
      <c r="E64" s="11"/>
      <c r="F64" s="11"/>
      <c r="G64" s="7"/>
    </row>
    <row r="65" spans="1:7" ht="24">
      <c r="A65" s="11"/>
      <c r="B65" s="11"/>
      <c r="C65" s="11"/>
      <c r="D65" s="21"/>
      <c r="E65" s="11"/>
      <c r="F65" s="11"/>
      <c r="G65" s="7"/>
    </row>
    <row r="66" spans="1:7" ht="24">
      <c r="A66" s="11"/>
      <c r="B66" s="11"/>
      <c r="C66" s="11"/>
      <c r="D66" s="21"/>
      <c r="E66" s="11"/>
      <c r="F66" s="11"/>
      <c r="G66" s="7"/>
    </row>
    <row r="67" spans="1:7" ht="24">
      <c r="A67" s="11"/>
      <c r="B67" s="11"/>
      <c r="C67" s="11"/>
      <c r="D67" s="21"/>
      <c r="E67" s="11"/>
      <c r="F67" s="11"/>
      <c r="G67" s="7"/>
    </row>
    <row r="68" spans="1:7" ht="24">
      <c r="A68" s="11"/>
      <c r="B68" s="11"/>
      <c r="C68" s="11"/>
      <c r="D68" s="21"/>
      <c r="E68" s="11"/>
      <c r="F68" s="11"/>
      <c r="G68" s="7"/>
    </row>
    <row r="69" spans="1:7" ht="24">
      <c r="A69" s="11"/>
      <c r="B69" s="11"/>
      <c r="C69" s="11"/>
      <c r="D69" s="21"/>
      <c r="E69" s="11"/>
      <c r="F69" s="11"/>
      <c r="G69" s="7"/>
    </row>
    <row r="70" spans="1:7" ht="24">
      <c r="A70" s="11"/>
      <c r="B70" s="11"/>
      <c r="C70" s="11"/>
      <c r="D70" s="21"/>
      <c r="E70" s="11"/>
      <c r="F70" s="11"/>
      <c r="G70" s="7"/>
    </row>
    <row r="71" spans="1:7" ht="24">
      <c r="A71" s="11"/>
      <c r="B71" s="11"/>
      <c r="C71" s="11"/>
      <c r="D71" s="21"/>
      <c r="E71" s="11"/>
      <c r="F71" s="11"/>
      <c r="G71" s="7"/>
    </row>
    <row r="72" spans="1:7" ht="24">
      <c r="A72" s="11"/>
      <c r="B72" s="11"/>
      <c r="C72" s="11"/>
      <c r="D72" s="21"/>
      <c r="E72" s="11"/>
      <c r="F72" s="11"/>
      <c r="G72" s="7"/>
    </row>
    <row r="73" spans="1:7" ht="24">
      <c r="A73" s="11"/>
      <c r="B73" s="11"/>
      <c r="C73" s="11"/>
      <c r="D73" s="21"/>
      <c r="E73" s="11"/>
      <c r="F73" s="11"/>
      <c r="G73" s="7"/>
    </row>
    <row r="74" spans="1:7" ht="24">
      <c r="A74" s="11"/>
      <c r="B74" s="11"/>
      <c r="C74" s="11"/>
      <c r="D74" s="21"/>
      <c r="E74" s="11"/>
      <c r="F74" s="11"/>
      <c r="G74" s="7"/>
    </row>
    <row r="75" spans="1:7" ht="24">
      <c r="A75" s="11"/>
      <c r="B75" s="11"/>
      <c r="C75" s="11"/>
      <c r="D75" s="21"/>
      <c r="E75" s="11"/>
      <c r="F75" s="11"/>
      <c r="G75" s="7"/>
    </row>
    <row r="76" spans="1:7" ht="24">
      <c r="A76" s="11"/>
      <c r="B76" s="11"/>
      <c r="C76" s="11"/>
      <c r="D76" s="21"/>
      <c r="E76" s="11"/>
      <c r="F76" s="11"/>
      <c r="G76" s="7"/>
    </row>
    <row r="77" spans="1:7" ht="24">
      <c r="A77" s="11"/>
      <c r="B77" s="11"/>
      <c r="C77" s="11"/>
      <c r="D77" s="21"/>
      <c r="E77" s="11"/>
      <c r="F77" s="11"/>
      <c r="G77" s="7"/>
    </row>
    <row r="78" spans="1:7" ht="24">
      <c r="A78" s="11"/>
      <c r="B78" s="11"/>
      <c r="C78" s="11"/>
      <c r="D78" s="21"/>
      <c r="E78" s="11"/>
      <c r="F78" s="11"/>
      <c r="G78" s="7"/>
    </row>
    <row r="79" spans="1:7" ht="24">
      <c r="A79" s="11"/>
      <c r="B79" s="11"/>
      <c r="C79" s="11"/>
      <c r="D79" s="21"/>
      <c r="E79" s="11"/>
      <c r="F79" s="11"/>
      <c r="G79" s="7"/>
    </row>
    <row r="80" spans="1:7" ht="24">
      <c r="A80" s="11"/>
      <c r="B80" s="11"/>
      <c r="C80" s="11"/>
      <c r="D80" s="21"/>
      <c r="E80" s="11"/>
      <c r="F80" s="11"/>
      <c r="G80" s="7"/>
    </row>
    <row r="81" spans="1:7" ht="24">
      <c r="A81" s="11"/>
      <c r="B81" s="11"/>
      <c r="C81" s="11"/>
      <c r="D81" s="21"/>
      <c r="E81" s="11"/>
      <c r="F81" s="11"/>
      <c r="G81" s="7"/>
    </row>
    <row r="82" spans="1:7" ht="24">
      <c r="A82" s="11"/>
      <c r="B82" s="11"/>
      <c r="C82" s="11"/>
      <c r="D82" s="21"/>
      <c r="E82" s="11"/>
      <c r="F82" s="11"/>
      <c r="G82" s="7"/>
    </row>
    <row r="83" spans="1:7" ht="24">
      <c r="A83" s="11"/>
      <c r="B83" s="11"/>
      <c r="C83" s="11"/>
      <c r="D83" s="21"/>
      <c r="E83" s="11"/>
      <c r="F83" s="11"/>
      <c r="G83" s="7"/>
    </row>
    <row r="84" spans="1:7" ht="24">
      <c r="A84" s="11"/>
      <c r="B84" s="11"/>
      <c r="C84" s="11"/>
      <c r="D84" s="21"/>
      <c r="E84" s="11"/>
      <c r="F84" s="11"/>
      <c r="G84" s="7"/>
    </row>
    <row r="85" spans="1:7" ht="24">
      <c r="A85" s="11"/>
      <c r="B85" s="11"/>
      <c r="C85" s="11"/>
      <c r="D85" s="21"/>
      <c r="E85" s="11"/>
      <c r="F85" s="11"/>
      <c r="G85" s="7"/>
    </row>
    <row r="86" spans="1:7" ht="24">
      <c r="A86" s="11"/>
      <c r="B86" s="11"/>
      <c r="C86" s="11"/>
      <c r="D86" s="21"/>
      <c r="E86" s="11"/>
      <c r="F86" s="11"/>
      <c r="G86" s="7"/>
    </row>
    <row r="87" spans="1:7" ht="24">
      <c r="A87" s="11"/>
      <c r="B87" s="11"/>
      <c r="C87" s="11"/>
      <c r="D87" s="21"/>
      <c r="E87" s="11"/>
      <c r="F87" s="11"/>
      <c r="G87" s="7"/>
    </row>
    <row r="88" spans="1:7" ht="24">
      <c r="A88" s="11"/>
      <c r="B88" s="11"/>
      <c r="C88" s="11"/>
      <c r="D88" s="21"/>
      <c r="E88" s="11"/>
      <c r="F88" s="11"/>
      <c r="G88" s="7"/>
    </row>
    <row r="89" spans="1:7" ht="24">
      <c r="A89" s="11"/>
      <c r="B89" s="11"/>
      <c r="C89" s="11"/>
      <c r="D89" s="21"/>
      <c r="E89" s="11"/>
      <c r="F89" s="11"/>
      <c r="G89" s="7"/>
    </row>
    <row r="90" spans="1:7" ht="24">
      <c r="A90" s="11"/>
      <c r="B90" s="11"/>
      <c r="C90" s="11"/>
      <c r="D90" s="21"/>
      <c r="E90" s="11"/>
      <c r="F90" s="11"/>
      <c r="G90" s="7"/>
    </row>
    <row r="91" spans="1:7" ht="24">
      <c r="A91" s="11"/>
      <c r="B91" s="11"/>
      <c r="C91" s="11"/>
      <c r="D91" s="21"/>
      <c r="E91" s="11"/>
      <c r="F91" s="11"/>
      <c r="G91" s="7"/>
    </row>
    <row r="92" spans="1:7" ht="24">
      <c r="A92" s="11"/>
      <c r="B92" s="11"/>
      <c r="C92" s="11"/>
      <c r="D92" s="21"/>
      <c r="E92" s="11"/>
      <c r="F92" s="11"/>
      <c r="G92" s="7"/>
    </row>
    <row r="93" spans="1:7" ht="24">
      <c r="A93" s="11"/>
      <c r="B93" s="11"/>
      <c r="C93" s="11"/>
      <c r="D93" s="21"/>
      <c r="E93" s="11"/>
      <c r="F93" s="11"/>
      <c r="G93" s="7"/>
    </row>
    <row r="94" spans="1:7" ht="24">
      <c r="A94" s="11"/>
      <c r="B94" s="11"/>
      <c r="C94" s="11"/>
      <c r="D94" s="21"/>
      <c r="E94" s="11"/>
      <c r="F94" s="11"/>
      <c r="G94" s="7"/>
    </row>
    <row r="95" spans="1:7" ht="24">
      <c r="A95" s="11"/>
      <c r="B95" s="11"/>
      <c r="C95" s="11"/>
      <c r="D95" s="21"/>
      <c r="E95" s="11"/>
      <c r="F95" s="11"/>
      <c r="G95" s="7"/>
    </row>
    <row r="96" spans="1:7" ht="24">
      <c r="A96" s="11"/>
      <c r="B96" s="11"/>
      <c r="C96" s="11"/>
      <c r="D96" s="21"/>
      <c r="E96" s="11"/>
      <c r="F96" s="11"/>
      <c r="G96" s="7"/>
    </row>
    <row r="97" spans="1:7" ht="24">
      <c r="A97" s="11"/>
      <c r="B97" s="11"/>
      <c r="C97" s="11"/>
      <c r="D97" s="21"/>
      <c r="E97" s="11"/>
      <c r="F97" s="11"/>
      <c r="G97" s="7"/>
    </row>
    <row r="98" spans="1:7" ht="24">
      <c r="A98" s="11"/>
      <c r="B98" s="11"/>
      <c r="C98" s="11"/>
      <c r="D98" s="21"/>
      <c r="E98" s="11"/>
      <c r="F98" s="11"/>
      <c r="G98" s="7"/>
    </row>
    <row r="99" spans="1:7" ht="24">
      <c r="A99" s="11"/>
      <c r="B99" s="11"/>
      <c r="C99" s="11"/>
      <c r="D99" s="21"/>
      <c r="E99" s="11"/>
      <c r="G99" s="7"/>
    </row>
    <row r="100" spans="1:7">
      <c r="A100" s="11"/>
      <c r="B100" s="11"/>
      <c r="C100" s="11"/>
      <c r="D100" s="16"/>
    </row>
    <row r="101" spans="1:7">
      <c r="A101" s="11"/>
      <c r="B101" s="11"/>
      <c r="C101" s="11"/>
      <c r="D101" s="16"/>
    </row>
    <row r="102" spans="1:7">
      <c r="A102" s="11"/>
      <c r="B102" s="11"/>
      <c r="C102" s="11"/>
      <c r="D102" s="16"/>
    </row>
    <row r="103" spans="1:7">
      <c r="A103" s="11"/>
      <c r="B103" s="11"/>
      <c r="C103" s="11"/>
      <c r="D103" s="16"/>
    </row>
    <row r="104" spans="1:7">
      <c r="A104" s="11"/>
      <c r="B104" s="11"/>
      <c r="C104" s="11"/>
      <c r="D104" s="16"/>
    </row>
    <row r="105" spans="1:7">
      <c r="A105" s="11"/>
      <c r="B105" s="11"/>
      <c r="C105" s="11"/>
      <c r="D105" s="16"/>
    </row>
    <row r="106" spans="1:7">
      <c r="A106" s="11"/>
      <c r="B106" s="11"/>
      <c r="C106" s="11"/>
      <c r="D106" s="16"/>
    </row>
    <row r="107" spans="1:7">
      <c r="A107" s="11"/>
      <c r="B107" s="11"/>
      <c r="C107" s="11"/>
      <c r="D107" s="16"/>
    </row>
    <row r="108" spans="1:7">
      <c r="A108" s="11"/>
      <c r="B108" s="11"/>
      <c r="C108" s="11"/>
      <c r="D108" s="16"/>
    </row>
    <row r="109" spans="1:7">
      <c r="A109" s="11"/>
      <c r="B109" s="11"/>
      <c r="C109" s="11"/>
      <c r="D109" s="16"/>
    </row>
    <row r="110" spans="1:7">
      <c r="A110" s="11"/>
      <c r="B110" s="11"/>
      <c r="C110" s="11"/>
    </row>
  </sheetData>
  <pageMargins left="0.5" right="0.5" top="0.5" bottom="0.5" header="0.5" footer="0.5"/>
  <pageSetup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K112"/>
  <sheetViews>
    <sheetView showGridLines="0" workbookViewId="0">
      <selection activeCell="F61" sqref="F61"/>
    </sheetView>
  </sheetViews>
  <sheetFormatPr baseColWidth="10" defaultColWidth="11" defaultRowHeight="16"/>
  <cols>
    <col min="1" max="1" width="25.83203125" customWidth="1"/>
    <col min="2" max="2" width="15.1640625" bestFit="1" customWidth="1"/>
    <col min="3" max="3" width="36.5" customWidth="1"/>
    <col min="4" max="4" width="15.1640625" customWidth="1"/>
    <col min="5" max="5" width="24.1640625" customWidth="1"/>
    <col min="6" max="6" width="12.33203125" customWidth="1"/>
    <col min="7" max="7" width="26" customWidth="1"/>
    <col min="8" max="8" width="16.6640625" bestFit="1" customWidth="1"/>
    <col min="9" max="9" width="20.1640625" bestFit="1" customWidth="1"/>
    <col min="10" max="10" width="11.6640625" bestFit="1" customWidth="1"/>
  </cols>
  <sheetData>
    <row r="1" spans="1:11" ht="24">
      <c r="A1" s="7" t="s">
        <v>17</v>
      </c>
      <c r="B1" s="7"/>
      <c r="C1" s="7"/>
      <c r="D1" s="7"/>
      <c r="E1" s="7"/>
      <c r="F1" s="7"/>
      <c r="G1" s="7"/>
      <c r="H1" s="7"/>
      <c r="I1" s="7"/>
    </row>
    <row r="2" spans="1:11" ht="19">
      <c r="A2" s="8" t="s">
        <v>541</v>
      </c>
      <c r="B2" s="1"/>
      <c r="C2" s="1"/>
      <c r="D2" s="1"/>
      <c r="E2" s="1"/>
      <c r="F2" s="1"/>
      <c r="G2" s="1"/>
      <c r="H2" s="1"/>
      <c r="I2" s="1"/>
    </row>
    <row r="4" spans="1:11" ht="17" thickBot="1">
      <c r="E4" s="2" t="s">
        <v>543</v>
      </c>
    </row>
    <row r="5" spans="1:11" ht="1" customHeight="1" thickBot="1">
      <c r="A5" s="59" t="s">
        <v>95</v>
      </c>
      <c r="B5" s="69"/>
      <c r="C5" s="70"/>
    </row>
    <row r="6" spans="1:11" ht="14" customHeight="1">
      <c r="A6" s="37" t="s">
        <v>38</v>
      </c>
      <c r="B6" s="353">
        <v>9.3399999999999997E-2</v>
      </c>
      <c r="C6" s="22" t="s">
        <v>39</v>
      </c>
      <c r="D6" s="11"/>
      <c r="E6" s="328" t="s">
        <v>6</v>
      </c>
      <c r="F6" s="330" t="s">
        <v>1</v>
      </c>
      <c r="G6" s="12"/>
      <c r="H6" s="13"/>
    </row>
    <row r="7" spans="1:11" ht="14" customHeight="1">
      <c r="A7" s="37" t="s">
        <v>40</v>
      </c>
      <c r="B7" s="354">
        <v>30</v>
      </c>
      <c r="C7" s="22" t="s">
        <v>551</v>
      </c>
      <c r="D7" s="11"/>
      <c r="E7" s="410" t="s">
        <v>16</v>
      </c>
      <c r="F7" s="329" t="s">
        <v>480</v>
      </c>
      <c r="G7" s="409" t="s">
        <v>479</v>
      </c>
      <c r="H7" s="14" t="s">
        <v>2</v>
      </c>
    </row>
    <row r="8" spans="1:11" ht="14" customHeight="1">
      <c r="A8" s="37" t="s">
        <v>41</v>
      </c>
      <c r="B8" s="355">
        <f>150*30</f>
        <v>4500</v>
      </c>
      <c r="C8" s="162" t="s">
        <v>549</v>
      </c>
      <c r="D8" s="11"/>
      <c r="E8" s="331">
        <f>FreightEquipData!F7</f>
        <v>2039</v>
      </c>
      <c r="F8" s="325">
        <f>G8/E8</f>
        <v>104012.75134870035</v>
      </c>
      <c r="G8" s="323">
        <f>FreightEquipData!H7</f>
        <v>212082000</v>
      </c>
      <c r="H8" s="332">
        <v>2019</v>
      </c>
    </row>
    <row r="9" spans="1:11" ht="14" customHeight="1" thickBot="1">
      <c r="A9" s="27" t="s">
        <v>42</v>
      </c>
      <c r="B9" s="430">
        <f>G13/E13</f>
        <v>98610.424276482154</v>
      </c>
      <c r="C9" s="25" t="s">
        <v>52</v>
      </c>
      <c r="D9" s="11"/>
      <c r="E9" s="318">
        <f>FreightEquipData!F8</f>
        <v>1850</v>
      </c>
      <c r="F9" s="326">
        <f>G9/E9</f>
        <v>71777.83783783784</v>
      </c>
      <c r="G9" s="320">
        <f>FreightEquipData!H8</f>
        <v>132789000</v>
      </c>
      <c r="H9" s="60">
        <v>2018</v>
      </c>
    </row>
    <row r="10" spans="1:11" ht="14" customHeight="1" thickBot="1">
      <c r="A10" s="11"/>
      <c r="B10" s="11"/>
      <c r="C10" s="11"/>
      <c r="D10" s="11"/>
      <c r="E10" s="318">
        <f>FreightEquipData!F9</f>
        <v>3425</v>
      </c>
      <c r="F10" s="326">
        <v>92430</v>
      </c>
      <c r="G10" s="320">
        <f>FreightEquipData!H9</f>
        <v>316573000</v>
      </c>
      <c r="H10" s="60">
        <v>2017</v>
      </c>
    </row>
    <row r="11" spans="1:11" ht="14" customHeight="1">
      <c r="A11" s="19" t="s">
        <v>47</v>
      </c>
      <c r="B11" s="12"/>
      <c r="C11" s="13"/>
      <c r="D11" s="11"/>
      <c r="E11" s="318">
        <f>FreightEquipData!F10</f>
        <v>2488</v>
      </c>
      <c r="F11" s="326">
        <v>105779</v>
      </c>
      <c r="G11" s="320">
        <f>FreightEquipData!H10</f>
        <v>263177000</v>
      </c>
      <c r="H11" s="60">
        <v>2016</v>
      </c>
    </row>
    <row r="12" spans="1:11" ht="14" customHeight="1">
      <c r="A12" s="62" t="s">
        <v>48</v>
      </c>
      <c r="B12" s="44"/>
      <c r="C12" s="53"/>
      <c r="D12" s="11"/>
      <c r="E12" s="333">
        <f>FreightEquipData!F11</f>
        <v>4434</v>
      </c>
      <c r="F12" s="327">
        <v>108067</v>
      </c>
      <c r="G12" s="324">
        <f>FreightEquipData!H11</f>
        <v>479197000</v>
      </c>
      <c r="H12" s="334">
        <v>2015</v>
      </c>
    </row>
    <row r="13" spans="1:11" ht="14" customHeight="1" thickBot="1">
      <c r="A13" s="398"/>
      <c r="B13" s="399" t="s">
        <v>36</v>
      </c>
      <c r="C13" s="71" t="s">
        <v>550</v>
      </c>
      <c r="D13" s="11"/>
      <c r="E13" s="321">
        <f>SUM(E8:E12)</f>
        <v>14236</v>
      </c>
      <c r="F13" s="335">
        <f>G13/E13</f>
        <v>98610.424276482154</v>
      </c>
      <c r="G13" s="322">
        <f>SUM(G8:G12)</f>
        <v>1403818000</v>
      </c>
      <c r="H13" s="15"/>
      <c r="K13" s="319"/>
    </row>
    <row r="14" spans="1:11" ht="14" customHeight="1">
      <c r="A14" s="23" t="s">
        <v>3</v>
      </c>
      <c r="B14" s="431">
        <f>-1*PMT($B$6,$B$7,B9,(B8))</f>
        <v>9920.058604755237</v>
      </c>
      <c r="C14" s="431">
        <f>-1*PMT($B$6,5,F25,(4.39*75))</f>
        <v>3106.2611520626697</v>
      </c>
      <c r="D14" s="11"/>
      <c r="E14" s="41" t="s">
        <v>478</v>
      </c>
      <c r="F14" s="26"/>
      <c r="G14" s="11"/>
    </row>
    <row r="15" spans="1:11" ht="14" customHeight="1" thickBot="1">
      <c r="A15" s="24" t="s">
        <v>4</v>
      </c>
      <c r="B15" s="432">
        <f>B14/365</f>
        <v>27.178242752754073</v>
      </c>
      <c r="C15" s="432">
        <f>C14/365</f>
        <v>8.5103045261990946</v>
      </c>
      <c r="D15" s="21"/>
      <c r="E15" s="42" t="s">
        <v>182</v>
      </c>
      <c r="F15" s="11"/>
      <c r="G15" s="11"/>
    </row>
    <row r="16" spans="1:11" ht="17" thickBot="1">
      <c r="A16" s="24" t="s">
        <v>5</v>
      </c>
      <c r="B16" s="432">
        <f>B15/24</f>
        <v>1.1324267813647531</v>
      </c>
      <c r="C16" s="432">
        <f>C15/24</f>
        <v>0.35459602192496226</v>
      </c>
      <c r="D16" s="21"/>
      <c r="E16" s="269" t="s">
        <v>567</v>
      </c>
    </row>
    <row r="17" spans="1:8" ht="13.25" customHeight="1" thickBot="1">
      <c r="A17" s="11"/>
      <c r="B17" s="11"/>
      <c r="C17" s="11"/>
      <c r="D17" s="21"/>
      <c r="E17" s="10"/>
    </row>
    <row r="18" spans="1:8" ht="17" thickBot="1">
      <c r="A18" s="59" t="s">
        <v>184</v>
      </c>
      <c r="B18" s="58"/>
      <c r="C18" s="47"/>
      <c r="D18" s="21"/>
      <c r="E18" s="2" t="s">
        <v>542</v>
      </c>
    </row>
    <row r="19" spans="1:8" ht="16" customHeight="1">
      <c r="A19" s="400"/>
      <c r="B19" s="401" t="s">
        <v>36</v>
      </c>
      <c r="C19" s="53"/>
      <c r="D19" s="21"/>
      <c r="E19" s="411" t="s">
        <v>544</v>
      </c>
      <c r="F19" s="412" t="s">
        <v>571</v>
      </c>
      <c r="G19" s="412" t="s">
        <v>479</v>
      </c>
      <c r="H19" s="413" t="s">
        <v>2</v>
      </c>
    </row>
    <row r="20" spans="1:8">
      <c r="A20" s="155" t="s">
        <v>183</v>
      </c>
      <c r="B20" s="356">
        <f>FreightEquipData!AH6</f>
        <v>282522</v>
      </c>
      <c r="C20" s="156" t="s">
        <v>94</v>
      </c>
      <c r="D20" s="21"/>
      <c r="E20" s="414">
        <f>FreightEquipData!AS7</f>
        <v>1256</v>
      </c>
      <c r="F20" s="391">
        <f>G20/E20</f>
        <v>10761.942675159236</v>
      </c>
      <c r="G20" s="159">
        <f>FreightEquipData!AU7</f>
        <v>13517000</v>
      </c>
      <c r="H20" s="332">
        <v>2019</v>
      </c>
    </row>
    <row r="21" spans="1:8">
      <c r="A21" s="37" t="s">
        <v>552</v>
      </c>
      <c r="B21" s="21"/>
      <c r="C21" s="22"/>
      <c r="D21" s="28"/>
      <c r="E21" s="415">
        <f>FreightEquipData!AS8</f>
        <v>11574</v>
      </c>
      <c r="F21" s="392">
        <f>G21/E21</f>
        <v>12360.808709175739</v>
      </c>
      <c r="G21" s="395">
        <f>FreightEquipData!AU8</f>
        <v>143064000</v>
      </c>
      <c r="H21" s="60">
        <v>2018</v>
      </c>
    </row>
    <row r="22" spans="1:8" ht="14" customHeight="1">
      <c r="A22" s="269" t="s">
        <v>566</v>
      </c>
      <c r="B22" s="21"/>
      <c r="C22" s="22"/>
      <c r="D22" s="16"/>
      <c r="E22" s="415">
        <f>FreightEquipData!AS9</f>
        <v>2000</v>
      </c>
      <c r="F22" s="392">
        <v>92430</v>
      </c>
      <c r="G22" s="395">
        <f>FreightEquipData!AU9</f>
        <v>17418000</v>
      </c>
      <c r="H22" s="60">
        <v>2017</v>
      </c>
    </row>
    <row r="23" spans="1:8" ht="14" customHeight="1">
      <c r="A23" s="154"/>
      <c r="B23" s="21"/>
      <c r="C23" s="22"/>
      <c r="D23" s="21"/>
      <c r="E23" s="415">
        <f>FreightEquipData!AS10</f>
        <v>80</v>
      </c>
      <c r="F23" s="392">
        <v>105779</v>
      </c>
      <c r="G23" s="395">
        <f>FreightEquipData!AU10</f>
        <v>1450000</v>
      </c>
      <c r="H23" s="60">
        <v>2016</v>
      </c>
    </row>
    <row r="24" spans="1:8" ht="14" customHeight="1">
      <c r="A24" s="62" t="s">
        <v>43</v>
      </c>
      <c r="B24" s="44"/>
      <c r="C24" s="53"/>
      <c r="D24" s="21"/>
      <c r="E24" s="416">
        <f>FreightEquipData!AS11</f>
        <v>20172</v>
      </c>
      <c r="F24" s="393">
        <v>108067</v>
      </c>
      <c r="G24" s="396">
        <f>FreightEquipData!AU11</f>
        <v>237317000</v>
      </c>
      <c r="H24" s="334">
        <v>2015</v>
      </c>
    </row>
    <row r="25" spans="1:8" ht="14" customHeight="1" thickBot="1">
      <c r="A25" s="198" t="s">
        <v>7</v>
      </c>
      <c r="B25" s="197" t="s">
        <v>8</v>
      </c>
      <c r="C25" s="199" t="s">
        <v>204</v>
      </c>
      <c r="D25" s="21"/>
      <c r="E25" s="394">
        <f>SUM(E20:E24)</f>
        <v>35082</v>
      </c>
      <c r="F25" s="335">
        <f>G25/E25</f>
        <v>11765.74881705718</v>
      </c>
      <c r="G25" s="390">
        <f>SUM(G20:G24)</f>
        <v>412766000</v>
      </c>
      <c r="H25" s="15"/>
    </row>
    <row r="26" spans="1:8" ht="14" customHeight="1">
      <c r="A26" s="37" t="s">
        <v>196</v>
      </c>
      <c r="B26" s="357">
        <f>FreightEquipData!X6</f>
        <v>10103000</v>
      </c>
      <c r="C26" s="22" t="s">
        <v>12</v>
      </c>
      <c r="D26" s="21"/>
      <c r="E26" s="41" t="s">
        <v>478</v>
      </c>
      <c r="F26" s="26"/>
      <c r="G26" s="11"/>
    </row>
    <row r="27" spans="1:8" ht="14" customHeight="1">
      <c r="A27" s="200" t="s">
        <v>203</v>
      </c>
      <c r="B27" s="358">
        <f>FreightEquipData!X7</f>
        <v>85622000</v>
      </c>
      <c r="C27" s="22" t="s">
        <v>11</v>
      </c>
      <c r="D27" s="21"/>
      <c r="E27" s="42" t="s">
        <v>182</v>
      </c>
      <c r="F27" s="11"/>
      <c r="G27" s="11"/>
    </row>
    <row r="28" spans="1:8" ht="14" customHeight="1" thickBot="1">
      <c r="A28" s="200" t="s">
        <v>197</v>
      </c>
      <c r="B28" s="358">
        <f>FreightEquipData!X8</f>
        <v>1410323000</v>
      </c>
      <c r="C28" s="22" t="s">
        <v>10</v>
      </c>
      <c r="D28" s="21"/>
    </row>
    <row r="29" spans="1:8" ht="14" customHeight="1">
      <c r="A29" s="200" t="s">
        <v>198</v>
      </c>
      <c r="B29" s="358">
        <f>FreightEquipData!X9</f>
        <v>21125000</v>
      </c>
      <c r="C29" s="22" t="s">
        <v>9</v>
      </c>
      <c r="D29" s="21"/>
      <c r="E29" s="59" t="s">
        <v>184</v>
      </c>
      <c r="F29" s="58"/>
      <c r="G29" s="47"/>
    </row>
    <row r="30" spans="1:8" ht="14" customHeight="1">
      <c r="A30" s="200" t="s">
        <v>199</v>
      </c>
      <c r="B30" s="358">
        <f>FreightEquipData!X10</f>
        <v>42364000</v>
      </c>
      <c r="C30" s="22" t="s">
        <v>13</v>
      </c>
      <c r="D30" s="21"/>
      <c r="E30" s="400"/>
      <c r="F30" s="421" t="s">
        <v>569</v>
      </c>
      <c r="G30" s="53"/>
    </row>
    <row r="31" spans="1:8">
      <c r="A31" s="200" t="s">
        <v>200</v>
      </c>
      <c r="B31" s="358">
        <f>FreightEquipData!X11</f>
        <v>189011000</v>
      </c>
      <c r="C31" s="22" t="s">
        <v>582</v>
      </c>
      <c r="D31" s="21"/>
      <c r="E31" s="155" t="s">
        <v>570</v>
      </c>
      <c r="F31" s="356">
        <f>FreightEquipData!BQ17</f>
        <v>159395</v>
      </c>
      <c r="G31" s="156"/>
    </row>
    <row r="32" spans="1:8">
      <c r="A32" s="200" t="s">
        <v>201</v>
      </c>
      <c r="B32" s="358">
        <f>FreightEquipData!X12</f>
        <v>86788000</v>
      </c>
      <c r="C32" s="22" t="s">
        <v>34</v>
      </c>
      <c r="D32" s="21"/>
      <c r="E32" s="155" t="s">
        <v>584</v>
      </c>
      <c r="F32" s="437"/>
      <c r="G32" s="156"/>
    </row>
    <row r="33" spans="1:7" ht="14" customHeight="1">
      <c r="A33" s="200" t="s">
        <v>137</v>
      </c>
      <c r="B33" s="358">
        <f>FreightEquipData!X13</f>
        <v>483140000</v>
      </c>
      <c r="C33" s="22" t="s">
        <v>185</v>
      </c>
      <c r="D33" s="21"/>
      <c r="E33" s="417" t="s">
        <v>568</v>
      </c>
      <c r="F33" s="21"/>
      <c r="G33" s="22"/>
    </row>
    <row r="34" spans="1:7" ht="14" customHeight="1">
      <c r="A34" s="200" t="s">
        <v>138</v>
      </c>
      <c r="B34" s="358">
        <f>FreightEquipData!X14</f>
        <v>-12808000</v>
      </c>
      <c r="C34" s="22" t="s">
        <v>186</v>
      </c>
      <c r="D34" s="21"/>
      <c r="E34" s="154"/>
      <c r="F34" s="21"/>
      <c r="G34" s="22"/>
    </row>
    <row r="35" spans="1:7" ht="14" customHeight="1">
      <c r="A35" s="200" t="s">
        <v>139</v>
      </c>
      <c r="B35" s="358">
        <f>FreightEquipData!X15</f>
        <v>0</v>
      </c>
      <c r="C35" s="22" t="s">
        <v>187</v>
      </c>
      <c r="D35" s="21"/>
      <c r="E35" s="62" t="s">
        <v>43</v>
      </c>
      <c r="F35" s="421"/>
      <c r="G35" s="53"/>
    </row>
    <row r="36" spans="1:7">
      <c r="A36" s="200" t="s">
        <v>140</v>
      </c>
      <c r="B36" s="358">
        <f>FreightEquipData!X16</f>
        <v>0</v>
      </c>
      <c r="C36" s="22" t="s">
        <v>188</v>
      </c>
      <c r="D36" s="21"/>
      <c r="E36" s="418" t="s">
        <v>7</v>
      </c>
      <c r="F36" s="419" t="s">
        <v>8</v>
      </c>
      <c r="G36" s="420" t="s">
        <v>204</v>
      </c>
    </row>
    <row r="37" spans="1:7">
      <c r="A37" s="200" t="s">
        <v>141</v>
      </c>
      <c r="B37" s="358">
        <f>FreightEquipData!X17</f>
        <v>2374455000</v>
      </c>
      <c r="C37" s="22" t="s">
        <v>189</v>
      </c>
      <c r="D37" s="21"/>
      <c r="E37" s="422" t="s">
        <v>572</v>
      </c>
      <c r="F37" s="357">
        <f>FreightEquipData!BI5</f>
        <v>134604000</v>
      </c>
      <c r="G37" s="51" t="s">
        <v>578</v>
      </c>
    </row>
    <row r="38" spans="1:7" ht="14" customHeight="1">
      <c r="A38" s="200" t="s">
        <v>142</v>
      </c>
      <c r="B38" s="358">
        <f>FreightEquipData!X18</f>
        <v>-800090000</v>
      </c>
      <c r="C38" s="22" t="s">
        <v>190</v>
      </c>
      <c r="D38" s="21"/>
      <c r="E38" s="423" t="s">
        <v>200</v>
      </c>
      <c r="F38" s="358">
        <f>FreightEquipData!BI6</f>
        <v>197439.64789920693</v>
      </c>
      <c r="G38" s="22" t="s">
        <v>579</v>
      </c>
    </row>
    <row r="39" spans="1:7" ht="14" customHeight="1">
      <c r="A39" s="200" t="s">
        <v>145</v>
      </c>
      <c r="B39" s="358">
        <v>0</v>
      </c>
      <c r="C39" s="22" t="s">
        <v>191</v>
      </c>
      <c r="D39" s="21"/>
      <c r="E39" s="423" t="s">
        <v>137</v>
      </c>
      <c r="F39" s="358">
        <f>FreightEquipData!BI7</f>
        <v>33440207.662167177</v>
      </c>
      <c r="G39" s="22" t="s">
        <v>580</v>
      </c>
    </row>
    <row r="40" spans="1:7" ht="14" customHeight="1">
      <c r="A40" s="200" t="s">
        <v>152</v>
      </c>
      <c r="B40" s="358">
        <f>FreightEquipData!X20</f>
        <v>0</v>
      </c>
      <c r="C40" s="22" t="s">
        <v>192</v>
      </c>
      <c r="D40" s="21"/>
      <c r="E40" s="424" t="s">
        <v>202</v>
      </c>
      <c r="F40" s="359">
        <f>FreightEquipData!BI8</f>
        <v>-18864000</v>
      </c>
      <c r="G40" s="53" t="s">
        <v>581</v>
      </c>
    </row>
    <row r="41" spans="1:7" ht="17" thickBot="1">
      <c r="A41" s="200" t="s">
        <v>153</v>
      </c>
      <c r="B41" s="358">
        <f>FreightEquipData!X21</f>
        <v>0</v>
      </c>
      <c r="C41" s="22" t="s">
        <v>193</v>
      </c>
      <c r="D41" s="21"/>
      <c r="E41" s="27" t="s">
        <v>573</v>
      </c>
      <c r="F41" s="335">
        <f>SUM(F37:F40)</f>
        <v>149377647.3100664</v>
      </c>
      <c r="G41" s="6"/>
    </row>
    <row r="42" spans="1:7">
      <c r="A42" s="200" t="s">
        <v>202</v>
      </c>
      <c r="B42" s="358">
        <f>FreightEquipData!X22</f>
        <v>-660285000</v>
      </c>
      <c r="C42" s="22" t="s">
        <v>14</v>
      </c>
      <c r="D42" s="21"/>
      <c r="E42" s="11"/>
    </row>
    <row r="43" spans="1:7">
      <c r="A43" s="200" t="s">
        <v>156</v>
      </c>
      <c r="B43" s="358">
        <f>FreightEquipData!X23</f>
        <v>0</v>
      </c>
      <c r="C43" s="22" t="s">
        <v>194</v>
      </c>
      <c r="D43" s="21"/>
      <c r="E43" s="11"/>
    </row>
    <row r="44" spans="1:7">
      <c r="A44" s="201" t="s">
        <v>158</v>
      </c>
      <c r="B44" s="359">
        <f>FreightEquipData!X24</f>
        <v>45154000</v>
      </c>
      <c r="C44" s="53" t="s">
        <v>195</v>
      </c>
      <c r="D44" s="21"/>
      <c r="E44" s="11"/>
    </row>
    <row r="45" spans="1:7" ht="17" thickBot="1">
      <c r="A45" s="27" t="s">
        <v>97</v>
      </c>
      <c r="B45" s="430">
        <f>SUM(B26:B44)</f>
        <v>3274902000</v>
      </c>
      <c r="C45" s="26"/>
      <c r="D45" s="21"/>
      <c r="E45" s="11"/>
    </row>
    <row r="46" spans="1:7">
      <c r="A46" s="269" t="s">
        <v>502</v>
      </c>
      <c r="B46" s="11"/>
      <c r="D46" s="21"/>
      <c r="E46" s="11"/>
    </row>
    <row r="47" spans="1:7" ht="17" thickBot="1">
      <c r="A47" s="269"/>
      <c r="B47" s="11"/>
      <c r="C47" s="26"/>
      <c r="D47" s="21"/>
      <c r="E47" s="11"/>
    </row>
    <row r="48" spans="1:7">
      <c r="A48" s="61" t="s">
        <v>577</v>
      </c>
      <c r="B48" s="434" t="s">
        <v>575</v>
      </c>
      <c r="C48" s="433" t="s">
        <v>574</v>
      </c>
      <c r="D48" s="21"/>
      <c r="E48" s="11"/>
    </row>
    <row r="49" spans="1:8">
      <c r="A49" s="23" t="s">
        <v>44</v>
      </c>
      <c r="B49" s="426">
        <f>B45/B20</f>
        <v>11591.670737146134</v>
      </c>
      <c r="C49" s="67">
        <f>F41/F31</f>
        <v>937.15390890596575</v>
      </c>
      <c r="D49" s="21"/>
      <c r="E49" s="11"/>
    </row>
    <row r="50" spans="1:8">
      <c r="A50" s="23" t="s">
        <v>45</v>
      </c>
      <c r="B50" s="427">
        <f>B49/365</f>
        <v>31.758002019578448</v>
      </c>
      <c r="C50" s="67">
        <f>C49/365</f>
        <v>2.5675449559067554</v>
      </c>
      <c r="D50" s="21"/>
      <c r="E50" s="11"/>
    </row>
    <row r="51" spans="1:8" ht="17" thickBot="1">
      <c r="A51" s="24" t="s">
        <v>46</v>
      </c>
      <c r="B51" s="428">
        <f>B50/24</f>
        <v>1.3232500841491019</v>
      </c>
      <c r="C51" s="425">
        <f>C50/24</f>
        <v>0.10698103982944814</v>
      </c>
      <c r="D51" s="21"/>
      <c r="E51" s="11"/>
    </row>
    <row r="52" spans="1:8" ht="17" thickBot="1">
      <c r="A52" s="11"/>
      <c r="B52" s="11"/>
      <c r="C52" s="11"/>
      <c r="D52" s="21"/>
      <c r="E52" s="11"/>
    </row>
    <row r="53" spans="1:8" ht="17" thickBot="1">
      <c r="A53" s="57" t="s">
        <v>576</v>
      </c>
      <c r="B53" s="434" t="s">
        <v>575</v>
      </c>
      <c r="C53" s="433" t="s">
        <v>574</v>
      </c>
      <c r="D53" s="21"/>
      <c r="E53" s="439" t="s">
        <v>583</v>
      </c>
    </row>
    <row r="54" spans="1:8">
      <c r="A54" s="23" t="s">
        <v>49</v>
      </c>
      <c r="B54" s="426">
        <f>B49+B14</f>
        <v>21511.729341901373</v>
      </c>
      <c r="C54" s="435">
        <f>C14+C49</f>
        <v>4043.4150609686353</v>
      </c>
      <c r="D54" s="21"/>
      <c r="E54" s="164" t="s">
        <v>205</v>
      </c>
      <c r="F54" s="12"/>
      <c r="G54" s="196">
        <f>LocomotiveData!AG23</f>
        <v>33241990000</v>
      </c>
      <c r="H54" s="13" t="s">
        <v>231</v>
      </c>
    </row>
    <row r="55" spans="1:8">
      <c r="A55" s="23" t="s">
        <v>50</v>
      </c>
      <c r="B55" s="427">
        <f>B50+B15</f>
        <v>58.936244772332522</v>
      </c>
      <c r="C55" s="435">
        <f>C15+C50</f>
        <v>11.077849482105851</v>
      </c>
      <c r="D55" s="21"/>
      <c r="E55" s="55" t="s">
        <v>206</v>
      </c>
      <c r="F55" s="421"/>
      <c r="G55" s="195">
        <f>LocomotiveData!AG12</f>
        <v>444609935</v>
      </c>
      <c r="H55" s="53" t="s">
        <v>232</v>
      </c>
    </row>
    <row r="56" spans="1:8" ht="17" thickBot="1">
      <c r="A56" s="24" t="s">
        <v>51</v>
      </c>
      <c r="B56" s="428">
        <f>B51+B16</f>
        <v>2.4556768655138548</v>
      </c>
      <c r="C56" s="436">
        <f>C16+C51</f>
        <v>0.46157706175441038</v>
      </c>
      <c r="D56" s="21"/>
      <c r="E56" s="27" t="s">
        <v>207</v>
      </c>
      <c r="F56" s="56"/>
      <c r="G56" s="438">
        <f>G54/G55</f>
        <v>74.766637862017191</v>
      </c>
      <c r="H56" s="6"/>
    </row>
    <row r="57" spans="1:8" ht="17" thickBot="1">
      <c r="A57" s="11"/>
      <c r="B57" s="11"/>
      <c r="C57" s="11"/>
      <c r="D57" s="21"/>
      <c r="E57" s="360" t="s">
        <v>501</v>
      </c>
    </row>
    <row r="58" spans="1:8">
      <c r="A58" s="59" t="s">
        <v>208</v>
      </c>
      <c r="B58" s="58"/>
      <c r="C58" s="47"/>
      <c r="D58" s="21"/>
      <c r="E58" s="11"/>
    </row>
    <row r="59" spans="1:8">
      <c r="A59" s="23" t="s">
        <v>53</v>
      </c>
      <c r="B59" s="429">
        <f>G56</f>
        <v>74.766637862017191</v>
      </c>
      <c r="C59" s="613">
        <f>FreightEquipData!EZ21</f>
        <v>1030.1543502897687</v>
      </c>
      <c r="D59" s="22" t="s">
        <v>1611</v>
      </c>
      <c r="E59" s="11"/>
    </row>
    <row r="60" spans="1:8" ht="17" thickBot="1">
      <c r="A60" s="27" t="s">
        <v>1612</v>
      </c>
      <c r="B60" s="163">
        <f>ROUND(B56*B59,2)</f>
        <v>183.6</v>
      </c>
      <c r="C60" s="614">
        <f>C59*C56</f>
        <v>475.49561816027506</v>
      </c>
      <c r="D60" s="21"/>
      <c r="E60" s="11"/>
    </row>
    <row r="61" spans="1:8">
      <c r="A61" s="11"/>
      <c r="B61" s="11"/>
      <c r="C61" s="11"/>
      <c r="D61" s="21"/>
      <c r="E61" s="11"/>
    </row>
    <row r="62" spans="1:8">
      <c r="A62" s="11"/>
      <c r="B62" s="11"/>
      <c r="C62" s="11"/>
      <c r="D62" s="21"/>
      <c r="E62" s="11"/>
    </row>
    <row r="63" spans="1:8">
      <c r="A63" s="11"/>
      <c r="B63" s="11"/>
      <c r="C63" s="11"/>
      <c r="D63" s="21"/>
      <c r="E63" s="615"/>
    </row>
    <row r="64" spans="1:8">
      <c r="A64" s="11"/>
      <c r="B64" s="11"/>
      <c r="C64" s="11"/>
      <c r="D64" s="21"/>
      <c r="E64" s="11"/>
    </row>
    <row r="65" spans="1:5">
      <c r="A65" s="11"/>
      <c r="B65" s="11"/>
      <c r="C65" s="11"/>
      <c r="D65" s="21"/>
      <c r="E65" s="11"/>
    </row>
    <row r="66" spans="1:5">
      <c r="A66" s="11"/>
      <c r="B66" s="11"/>
      <c r="C66" s="11"/>
      <c r="D66" s="21"/>
      <c r="E66" s="11"/>
    </row>
    <row r="67" spans="1:5">
      <c r="A67" s="11"/>
      <c r="B67" s="11"/>
      <c r="C67" s="11"/>
      <c r="D67" s="21"/>
      <c r="E67" s="11"/>
    </row>
    <row r="68" spans="1:5">
      <c r="A68" s="11"/>
      <c r="B68" s="11"/>
      <c r="C68" s="11"/>
      <c r="D68" s="21"/>
      <c r="E68" s="11"/>
    </row>
    <row r="69" spans="1:5">
      <c r="A69" s="11"/>
      <c r="B69" s="11"/>
      <c r="C69" s="11"/>
      <c r="D69" s="21"/>
      <c r="E69" s="11"/>
    </row>
    <row r="70" spans="1:5">
      <c r="A70" s="11"/>
      <c r="B70" s="11"/>
      <c r="C70" s="11"/>
      <c r="D70" s="21"/>
      <c r="E70" s="11"/>
    </row>
    <row r="71" spans="1:5">
      <c r="A71" s="11"/>
      <c r="B71" s="11"/>
      <c r="C71" s="11"/>
      <c r="D71" s="21"/>
      <c r="E71" s="11"/>
    </row>
    <row r="72" spans="1:5">
      <c r="A72" s="11"/>
      <c r="B72" s="11"/>
      <c r="C72" s="11"/>
      <c r="D72" s="21"/>
      <c r="E72" s="11"/>
    </row>
    <row r="73" spans="1:5">
      <c r="A73" s="11"/>
      <c r="B73" s="11"/>
      <c r="C73" s="11"/>
      <c r="D73" s="21"/>
      <c r="E73" s="11"/>
    </row>
    <row r="74" spans="1:5">
      <c r="A74" s="11"/>
      <c r="B74" s="11"/>
      <c r="C74" s="11"/>
      <c r="D74" s="21"/>
      <c r="E74" s="11"/>
    </row>
    <row r="75" spans="1:5">
      <c r="A75" s="11"/>
      <c r="B75" s="11"/>
      <c r="C75" s="11"/>
      <c r="D75" s="21"/>
      <c r="E75" s="11"/>
    </row>
    <row r="76" spans="1:5">
      <c r="A76" s="11"/>
      <c r="B76" s="11"/>
      <c r="C76" s="11"/>
      <c r="D76" s="21"/>
      <c r="E76" s="11"/>
    </row>
    <row r="77" spans="1:5">
      <c r="A77" s="11"/>
      <c r="B77" s="11"/>
      <c r="C77" s="11"/>
      <c r="D77" s="21"/>
      <c r="E77" s="11"/>
    </row>
    <row r="78" spans="1:5">
      <c r="A78" s="11"/>
      <c r="B78" s="11"/>
      <c r="C78" s="11"/>
      <c r="D78" s="21"/>
      <c r="E78" s="11"/>
    </row>
    <row r="79" spans="1:5">
      <c r="A79" s="11"/>
      <c r="B79" s="11"/>
      <c r="C79" s="11"/>
      <c r="D79" s="21"/>
      <c r="E79" s="11"/>
    </row>
    <row r="80" spans="1:5">
      <c r="A80" s="11"/>
      <c r="B80" s="11"/>
      <c r="C80" s="11"/>
      <c r="D80" s="21"/>
      <c r="E80" s="11"/>
    </row>
    <row r="81" spans="1:5">
      <c r="A81" s="11"/>
      <c r="B81" s="11"/>
      <c r="C81" s="11"/>
      <c r="D81" s="21"/>
      <c r="E81" s="11"/>
    </row>
    <row r="82" spans="1:5">
      <c r="A82" s="11"/>
      <c r="B82" s="11"/>
      <c r="C82" s="11"/>
      <c r="D82" s="21"/>
      <c r="E82" s="11"/>
    </row>
    <row r="83" spans="1:5">
      <c r="A83" s="11"/>
      <c r="B83" s="11"/>
      <c r="C83" s="11"/>
      <c r="D83" s="21"/>
      <c r="E83" s="11"/>
    </row>
    <row r="84" spans="1:5">
      <c r="A84" s="11"/>
      <c r="B84" s="11"/>
      <c r="C84" s="11"/>
      <c r="D84" s="21"/>
      <c r="E84" s="11"/>
    </row>
    <row r="85" spans="1:5">
      <c r="A85" s="11"/>
      <c r="B85" s="11"/>
      <c r="C85" s="11"/>
      <c r="D85" s="21"/>
      <c r="E85" s="11"/>
    </row>
    <row r="86" spans="1:5">
      <c r="A86" s="11"/>
      <c r="B86" s="11"/>
      <c r="C86" s="11"/>
      <c r="D86" s="21"/>
      <c r="E86" s="11"/>
    </row>
    <row r="87" spans="1:5">
      <c r="A87" s="11"/>
      <c r="B87" s="11"/>
      <c r="C87" s="11"/>
      <c r="D87" s="21"/>
      <c r="E87" s="11"/>
    </row>
    <row r="88" spans="1:5">
      <c r="A88" s="11"/>
      <c r="B88" s="11"/>
      <c r="C88" s="11"/>
      <c r="D88" s="21"/>
      <c r="E88" s="11"/>
    </row>
    <row r="89" spans="1:5">
      <c r="A89" s="11"/>
      <c r="B89" s="11"/>
      <c r="C89" s="11"/>
      <c r="D89" s="21"/>
      <c r="E89" s="11"/>
    </row>
    <row r="90" spans="1:5">
      <c r="A90" s="11"/>
      <c r="B90" s="11"/>
      <c r="C90" s="11"/>
      <c r="D90" s="21"/>
      <c r="E90" s="11"/>
    </row>
    <row r="91" spans="1:5">
      <c r="A91" s="11"/>
      <c r="B91" s="11"/>
      <c r="C91" s="11"/>
      <c r="D91" s="21"/>
      <c r="E91" s="11"/>
    </row>
    <row r="92" spans="1:5">
      <c r="A92" s="11"/>
      <c r="B92" s="11"/>
      <c r="C92" s="11"/>
      <c r="D92" s="21"/>
      <c r="E92" s="11"/>
    </row>
    <row r="93" spans="1:5">
      <c r="A93" s="11"/>
      <c r="B93" s="11"/>
      <c r="C93" s="11"/>
      <c r="D93" s="21"/>
      <c r="E93" s="11"/>
    </row>
    <row r="94" spans="1:5">
      <c r="A94" s="11"/>
      <c r="B94" s="11"/>
      <c r="C94" s="11"/>
      <c r="D94" s="21"/>
      <c r="E94" s="11"/>
    </row>
    <row r="95" spans="1:5">
      <c r="A95" s="11"/>
      <c r="B95" s="11"/>
      <c r="C95" s="11"/>
      <c r="D95" s="21"/>
      <c r="E95" s="11"/>
    </row>
    <row r="96" spans="1:5">
      <c r="A96" s="11"/>
      <c r="B96" s="11"/>
      <c r="C96" s="11"/>
      <c r="D96" s="21"/>
      <c r="E96" s="11"/>
    </row>
    <row r="97" spans="1:5">
      <c r="A97" s="11"/>
      <c r="B97" s="11"/>
      <c r="C97" s="11"/>
      <c r="D97" s="16"/>
      <c r="E97" s="11"/>
    </row>
    <row r="98" spans="1:5">
      <c r="A98" s="11"/>
      <c r="B98" s="11"/>
      <c r="C98" s="11"/>
      <c r="D98" s="16"/>
      <c r="E98" s="11"/>
    </row>
    <row r="99" spans="1:5">
      <c r="A99" s="11"/>
      <c r="B99" s="11"/>
      <c r="C99" s="11"/>
      <c r="D99" s="16"/>
    </row>
    <row r="100" spans="1:5">
      <c r="A100" s="11"/>
      <c r="B100" s="11"/>
      <c r="C100" s="11"/>
      <c r="D100" s="16"/>
    </row>
    <row r="101" spans="1:5">
      <c r="A101" s="11"/>
      <c r="B101" s="11"/>
      <c r="C101" s="11"/>
      <c r="D101" s="16"/>
    </row>
    <row r="102" spans="1:5">
      <c r="A102" s="11"/>
      <c r="B102" s="11"/>
      <c r="C102" s="11"/>
      <c r="D102" s="16"/>
    </row>
    <row r="103" spans="1:5">
      <c r="A103" s="11"/>
      <c r="B103" s="11"/>
      <c r="C103" s="11"/>
      <c r="D103" s="16"/>
    </row>
    <row r="104" spans="1:5">
      <c r="A104" s="11"/>
      <c r="B104" s="11"/>
      <c r="C104" s="11"/>
      <c r="D104" s="16"/>
    </row>
    <row r="105" spans="1:5">
      <c r="A105" s="11"/>
      <c r="B105" s="11"/>
      <c r="C105" s="11"/>
      <c r="D105" s="16"/>
    </row>
    <row r="106" spans="1:5">
      <c r="A106" s="11"/>
      <c r="B106" s="11"/>
      <c r="C106" s="11"/>
      <c r="D106" s="16"/>
    </row>
    <row r="107" spans="1:5">
      <c r="A107" s="11"/>
      <c r="B107" s="11"/>
      <c r="C107" s="11"/>
    </row>
    <row r="108" spans="1:5">
      <c r="A108" s="11"/>
      <c r="B108" s="11"/>
      <c r="C108" s="11"/>
    </row>
    <row r="109" spans="1:5">
      <c r="A109" s="11"/>
      <c r="B109" s="11"/>
      <c r="C109" s="11"/>
    </row>
    <row r="110" spans="1:5">
      <c r="A110" s="11"/>
      <c r="B110" s="11"/>
      <c r="C110" s="11"/>
    </row>
    <row r="111" spans="1:5">
      <c r="A111" s="11"/>
      <c r="B111" s="11"/>
      <c r="C111" s="11"/>
    </row>
    <row r="112" spans="1:5">
      <c r="A112" s="11"/>
      <c r="B112" s="11"/>
      <c r="C112" s="11"/>
    </row>
  </sheetData>
  <pageMargins left="1" right="0.5" top="0.5" bottom="0.5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</sheetPr>
  <dimension ref="A1:N38"/>
  <sheetViews>
    <sheetView showGridLines="0" workbookViewId="0">
      <selection activeCell="X18" sqref="X18"/>
    </sheetView>
  </sheetViews>
  <sheetFormatPr baseColWidth="10" defaultColWidth="11" defaultRowHeight="16"/>
  <cols>
    <col min="1" max="1" width="23.6640625" customWidth="1"/>
    <col min="2" max="2" width="13.6640625" customWidth="1"/>
    <col min="3" max="3" width="19" customWidth="1"/>
    <col min="4" max="4" width="15.1640625" customWidth="1"/>
    <col min="5" max="5" width="8.83203125" customWidth="1"/>
    <col min="6" max="6" width="3.83203125" customWidth="1"/>
    <col min="13" max="13" width="16" bestFit="1" customWidth="1"/>
  </cols>
  <sheetData>
    <row r="1" spans="1:14" ht="24">
      <c r="A1" s="7" t="s">
        <v>179</v>
      </c>
      <c r="B1" s="7"/>
      <c r="C1" s="7"/>
      <c r="D1" s="7"/>
      <c r="E1" s="7"/>
      <c r="F1" s="7"/>
    </row>
    <row r="2" spans="1:14" ht="19">
      <c r="A2" s="8" t="s">
        <v>112</v>
      </c>
      <c r="B2" s="1"/>
      <c r="C2" s="1"/>
      <c r="D2" s="1"/>
      <c r="E2" s="1"/>
      <c r="F2" s="1"/>
    </row>
    <row r="3" spans="1:14" ht="17" thickBot="1"/>
    <row r="4" spans="1:14" ht="19">
      <c r="A4" s="157" t="s">
        <v>211</v>
      </c>
      <c r="B4" s="69"/>
      <c r="C4" s="69"/>
      <c r="D4" s="69"/>
      <c r="E4" s="69"/>
      <c r="F4" s="69"/>
      <c r="G4" s="69"/>
      <c r="H4" s="69"/>
      <c r="I4" s="70"/>
      <c r="K4" s="68" t="s">
        <v>220</v>
      </c>
      <c r="L4" s="69"/>
      <c r="M4" s="69"/>
      <c r="N4" s="70"/>
    </row>
    <row r="5" spans="1:14">
      <c r="A5" s="183" t="s">
        <v>212</v>
      </c>
      <c r="B5" s="169"/>
      <c r="C5" s="169"/>
      <c r="D5" s="169"/>
      <c r="E5" s="169"/>
      <c r="F5" s="169"/>
      <c r="G5" s="169"/>
      <c r="H5" s="169"/>
      <c r="I5" s="66"/>
      <c r="K5" s="65" t="s">
        <v>227</v>
      </c>
      <c r="L5" s="169"/>
      <c r="M5" s="4"/>
      <c r="N5" s="66"/>
    </row>
    <row r="6" spans="1:14" ht="15" customHeight="1">
      <c r="A6" s="37" t="s">
        <v>76</v>
      </c>
      <c r="B6" s="160">
        <f>CrewData!C14</f>
        <v>58573</v>
      </c>
      <c r="C6" s="17" t="s">
        <v>286</v>
      </c>
      <c r="D6" s="21"/>
      <c r="E6" s="16"/>
      <c r="F6" s="16"/>
      <c r="G6" s="16"/>
      <c r="H6" s="16"/>
      <c r="I6" s="5"/>
      <c r="K6" s="54"/>
      <c r="L6" s="16"/>
      <c r="M6" s="170" t="s">
        <v>122</v>
      </c>
      <c r="N6" s="182" t="s">
        <v>229</v>
      </c>
    </row>
    <row r="7" spans="1:14">
      <c r="A7" s="37" t="s">
        <v>291</v>
      </c>
      <c r="B7" s="160">
        <f>CrewData!D14</f>
        <v>93969502</v>
      </c>
      <c r="C7" s="17" t="s">
        <v>287</v>
      </c>
      <c r="D7" s="21"/>
      <c r="E7" s="16"/>
      <c r="F7" s="16"/>
      <c r="G7" s="16"/>
      <c r="H7" s="16"/>
      <c r="I7" s="5"/>
      <c r="K7" s="158"/>
      <c r="L7" s="63"/>
      <c r="M7" s="171" t="s">
        <v>122</v>
      </c>
      <c r="N7" s="174" t="s">
        <v>228</v>
      </c>
    </row>
    <row r="8" spans="1:14">
      <c r="A8" s="37" t="s">
        <v>290</v>
      </c>
      <c r="B8" s="160">
        <f>CrewData!E14</f>
        <v>11535369</v>
      </c>
      <c r="C8" s="17" t="s">
        <v>288</v>
      </c>
      <c r="D8" s="21"/>
      <c r="E8" s="16"/>
      <c r="F8" s="16"/>
      <c r="G8" s="16"/>
      <c r="H8" s="16"/>
      <c r="I8" s="5"/>
      <c r="K8" s="54" t="s">
        <v>221</v>
      </c>
      <c r="L8" s="16"/>
      <c r="M8" s="172">
        <f>LocomotiveData!AG10</f>
        <v>45331905</v>
      </c>
      <c r="N8" s="175">
        <v>3</v>
      </c>
    </row>
    <row r="9" spans="1:14">
      <c r="A9" s="55" t="s">
        <v>219</v>
      </c>
      <c r="B9" s="178">
        <f>CrewData!F14</f>
        <v>5593954000</v>
      </c>
      <c r="C9" s="45" t="s">
        <v>289</v>
      </c>
      <c r="D9" s="44"/>
      <c r="E9" s="63"/>
      <c r="F9" s="63"/>
      <c r="G9" s="63"/>
      <c r="H9" s="63"/>
      <c r="I9" s="64"/>
      <c r="K9" s="54" t="s">
        <v>222</v>
      </c>
      <c r="L9" s="16"/>
      <c r="M9" s="172">
        <f>LocomotiveData!AG9</f>
        <v>114388716</v>
      </c>
      <c r="N9" s="176">
        <v>2</v>
      </c>
    </row>
    <row r="10" spans="1:14">
      <c r="A10" s="37" t="s">
        <v>83</v>
      </c>
      <c r="B10" s="187">
        <f>B7+B8</f>
        <v>105504871</v>
      </c>
      <c r="C10" s="17" t="s">
        <v>85</v>
      </c>
      <c r="D10" s="21"/>
      <c r="E10" s="16"/>
      <c r="F10" s="16"/>
      <c r="G10" s="16"/>
      <c r="H10" s="16"/>
      <c r="I10" s="5"/>
      <c r="K10" s="54" t="s">
        <v>223</v>
      </c>
      <c r="L10" s="16"/>
      <c r="M10" s="172">
        <f>LocomotiveData!AG11</f>
        <v>284889314</v>
      </c>
      <c r="N10" s="176">
        <v>2</v>
      </c>
    </row>
    <row r="11" spans="1:14">
      <c r="A11" s="37" t="s">
        <v>84</v>
      </c>
      <c r="B11" s="188">
        <f>B9/B10</f>
        <v>53.020812659919748</v>
      </c>
      <c r="C11" s="17" t="s">
        <v>89</v>
      </c>
      <c r="D11" s="21"/>
      <c r="E11" s="16"/>
      <c r="F11" s="16"/>
      <c r="G11" s="16"/>
      <c r="H11" s="16"/>
      <c r="I11" s="5"/>
      <c r="K11" s="158" t="s">
        <v>224</v>
      </c>
      <c r="L11" s="63"/>
      <c r="M11" s="173">
        <f>LocomotiveData!AG12</f>
        <v>444609935</v>
      </c>
      <c r="N11" s="177"/>
    </row>
    <row r="12" spans="1:14">
      <c r="A12" s="37" t="s">
        <v>80</v>
      </c>
      <c r="B12" s="167">
        <f>N13</f>
        <v>2.1019588215004688</v>
      </c>
      <c r="C12" s="17" t="s">
        <v>285</v>
      </c>
      <c r="D12" s="21"/>
      <c r="E12" s="16"/>
      <c r="F12" s="16"/>
      <c r="G12" s="16"/>
      <c r="H12" s="16"/>
      <c r="I12" s="5"/>
      <c r="K12" s="65" t="s">
        <v>225</v>
      </c>
      <c r="L12" s="169"/>
      <c r="M12" s="190">
        <f>(M8*N8)+(M9*N9)+(M10*N10)</f>
        <v>934551775</v>
      </c>
      <c r="N12" s="191"/>
    </row>
    <row r="13" spans="1:14" ht="17" thickBot="1">
      <c r="A13" s="37" t="s">
        <v>92</v>
      </c>
      <c r="B13" s="188">
        <f>B11*B12</f>
        <v>111.44756489364205</v>
      </c>
      <c r="C13" s="17" t="s">
        <v>90</v>
      </c>
      <c r="D13" s="21"/>
      <c r="E13" s="16"/>
      <c r="F13" s="16"/>
      <c r="G13" s="16"/>
      <c r="H13" s="16"/>
      <c r="I13" s="5"/>
      <c r="K13" s="168" t="s">
        <v>226</v>
      </c>
      <c r="L13" s="3"/>
      <c r="M13" s="192"/>
      <c r="N13" s="193">
        <f>M12/M11</f>
        <v>2.1019588215004688</v>
      </c>
    </row>
    <row r="14" spans="1:14">
      <c r="A14" s="55" t="s">
        <v>91</v>
      </c>
      <c r="B14" s="189">
        <f>B26</f>
        <v>1.4129</v>
      </c>
      <c r="C14" s="45" t="s">
        <v>87</v>
      </c>
      <c r="D14" s="44"/>
      <c r="E14" s="63"/>
      <c r="F14" s="63"/>
      <c r="G14" s="63"/>
      <c r="H14" s="63"/>
      <c r="I14" s="64"/>
    </row>
    <row r="15" spans="1:14" ht="17" thickBot="1">
      <c r="A15" s="49" t="s">
        <v>81</v>
      </c>
      <c r="B15" s="161">
        <f>B13*B14</f>
        <v>157.46426443822685</v>
      </c>
      <c r="C15" s="18" t="s">
        <v>82</v>
      </c>
      <c r="D15" s="56"/>
      <c r="E15" s="3"/>
      <c r="F15" s="3"/>
      <c r="G15" s="3"/>
      <c r="H15" s="3"/>
      <c r="I15" s="6"/>
    </row>
    <row r="16" spans="1:14">
      <c r="A16" s="10" t="s">
        <v>86</v>
      </c>
      <c r="B16" s="36"/>
      <c r="C16" s="10"/>
      <c r="D16" s="11"/>
    </row>
    <row r="17" spans="1:5">
      <c r="A17" s="10"/>
      <c r="B17" s="36"/>
      <c r="C17" s="10"/>
      <c r="D17" s="11"/>
    </row>
    <row r="18" spans="1:5">
      <c r="A18" s="10"/>
      <c r="B18" s="36"/>
      <c r="C18" s="10"/>
      <c r="D18" s="11"/>
    </row>
    <row r="19" spans="1:5" ht="17" thickBot="1">
      <c r="A19" s="10"/>
      <c r="B19" s="36"/>
      <c r="C19" s="10"/>
      <c r="D19" s="11"/>
    </row>
    <row r="20" spans="1:5">
      <c r="A20" s="59" t="s">
        <v>88</v>
      </c>
      <c r="B20" s="69"/>
      <c r="C20" s="69"/>
      <c r="D20" s="69"/>
      <c r="E20" s="70"/>
    </row>
    <row r="21" spans="1:5">
      <c r="A21" s="55" t="s">
        <v>93</v>
      </c>
      <c r="B21" s="63"/>
      <c r="C21" s="63"/>
      <c r="D21" s="63"/>
      <c r="E21" s="64"/>
    </row>
    <row r="22" spans="1:5">
      <c r="A22" s="37" t="s">
        <v>209</v>
      </c>
      <c r="B22" s="159">
        <f>B9</f>
        <v>5593954000</v>
      </c>
      <c r="C22" s="10" t="s">
        <v>289</v>
      </c>
      <c r="D22" s="16"/>
      <c r="E22" s="5"/>
    </row>
    <row r="23" spans="1:5">
      <c r="A23" s="55" t="s">
        <v>210</v>
      </c>
      <c r="B23" s="179">
        <f>CrewData!G14</f>
        <v>2309697268.3338895</v>
      </c>
      <c r="C23" s="44" t="s">
        <v>213</v>
      </c>
      <c r="D23" s="63"/>
      <c r="E23" s="64"/>
    </row>
    <row r="24" spans="1:5">
      <c r="A24" s="155" t="s">
        <v>77</v>
      </c>
      <c r="B24" s="185">
        <f>B23+B22</f>
        <v>7903651268.333889</v>
      </c>
      <c r="C24" s="180" t="s">
        <v>214</v>
      </c>
      <c r="D24" s="169"/>
      <c r="E24" s="66"/>
    </row>
    <row r="25" spans="1:5">
      <c r="A25" s="155" t="s">
        <v>78</v>
      </c>
      <c r="B25" s="181">
        <f>B22</f>
        <v>5593954000</v>
      </c>
      <c r="C25" s="45" t="s">
        <v>289</v>
      </c>
      <c r="D25" s="169"/>
      <c r="E25" s="66"/>
    </row>
    <row r="26" spans="1:5" ht="17" thickBot="1">
      <c r="A26" s="27" t="s">
        <v>79</v>
      </c>
      <c r="B26" s="186">
        <f>ROUND(B24/B25,4)</f>
        <v>1.4129</v>
      </c>
      <c r="C26" s="18"/>
      <c r="D26" s="3"/>
      <c r="E26" s="6"/>
    </row>
    <row r="29" spans="1:5">
      <c r="A29" s="16"/>
      <c r="B29" s="16"/>
      <c r="C29" s="16"/>
    </row>
    <row r="30" spans="1:5">
      <c r="D30" s="16"/>
      <c r="E30" s="16"/>
    </row>
    <row r="38" spans="6:7">
      <c r="F38" s="16"/>
      <c r="G38" s="16"/>
    </row>
  </sheetData>
  <pageMargins left="0.5" right="0.5" top="0.5" bottom="0.5" header="0.5" footer="0.5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6518-A89D-DB49-A799-20407EA94BEA}">
  <sheetPr>
    <tabColor theme="6" tint="-0.499984740745262"/>
  </sheetPr>
  <dimension ref="A1:AJ1008"/>
  <sheetViews>
    <sheetView topLeftCell="S45" workbookViewId="0">
      <selection activeCell="AA125" sqref="AA125:AI1008"/>
    </sheetView>
  </sheetViews>
  <sheetFormatPr baseColWidth="10" defaultRowHeight="16"/>
  <cols>
    <col min="1" max="1" width="8.1640625" customWidth="1"/>
    <col min="2" max="2" width="5.1640625" bestFit="1" customWidth="1"/>
    <col min="3" max="3" width="5.83203125" bestFit="1" customWidth="1"/>
    <col min="4" max="4" width="7.1640625" bestFit="1" customWidth="1"/>
    <col min="5" max="5" width="15" bestFit="1" customWidth="1"/>
    <col min="6" max="6" width="21.5" bestFit="1" customWidth="1"/>
    <col min="7" max="7" width="11.1640625" customWidth="1"/>
    <col min="8" max="8" width="15" bestFit="1" customWidth="1"/>
    <col min="9" max="11" width="10.5" customWidth="1"/>
    <col min="12" max="12" width="4.33203125" style="253" customWidth="1"/>
    <col min="13" max="17" width="6.33203125" customWidth="1"/>
    <col min="18" max="18" width="19.6640625" customWidth="1"/>
    <col min="19" max="19" width="25" customWidth="1"/>
    <col min="20" max="24" width="14.6640625" style="261" bestFit="1" customWidth="1"/>
    <col min="25" max="25" width="5" style="253" customWidth="1"/>
    <col min="30" max="30" width="10.83203125" style="289"/>
    <col min="32" max="32" width="40.33203125" customWidth="1"/>
    <col min="33" max="33" width="52.83203125" customWidth="1"/>
    <col min="34" max="34" width="53.6640625" bestFit="1" customWidth="1"/>
    <col min="35" max="35" width="16.33203125" bestFit="1" customWidth="1"/>
  </cols>
  <sheetData>
    <row r="1" spans="1:33" ht="19">
      <c r="A1" s="267" t="s">
        <v>259</v>
      </c>
      <c r="B1" s="16"/>
      <c r="C1" s="16"/>
      <c r="D1" s="16"/>
      <c r="E1" s="16"/>
      <c r="F1" s="16"/>
      <c r="G1" s="16"/>
      <c r="M1" s="252" t="s">
        <v>261</v>
      </c>
      <c r="Z1" s="252" t="s">
        <v>284</v>
      </c>
    </row>
    <row r="2" spans="1:33" ht="17" thickBot="1">
      <c r="A2" s="2" t="s">
        <v>319</v>
      </c>
      <c r="M2" s="2" t="s">
        <v>318</v>
      </c>
      <c r="Z2" s="2" t="s">
        <v>317</v>
      </c>
    </row>
    <row r="3" spans="1:33">
      <c r="D3" s="266"/>
      <c r="E3" s="69"/>
      <c r="F3" s="69"/>
      <c r="G3" s="69"/>
      <c r="H3" s="69"/>
      <c r="I3" s="70"/>
      <c r="AF3" t="s">
        <v>1824</v>
      </c>
      <c r="AG3" s="311">
        <f>AG4*AG5</f>
        <v>6676398610.8438654</v>
      </c>
    </row>
    <row r="4" spans="1:33">
      <c r="D4" s="183" t="s">
        <v>262</v>
      </c>
      <c r="E4" s="169"/>
      <c r="F4" s="169"/>
      <c r="G4" s="169"/>
      <c r="H4" s="169"/>
      <c r="I4" s="66"/>
      <c r="AE4">
        <v>1</v>
      </c>
      <c r="AF4" t="s">
        <v>1823</v>
      </c>
      <c r="AG4" s="296">
        <f>SUMIFS(AG82:AG123,AE82:AE123,AE4)</f>
        <v>3223915148</v>
      </c>
    </row>
    <row r="5" spans="1:33">
      <c r="D5" s="205"/>
      <c r="E5" s="39"/>
      <c r="F5" s="210" t="s">
        <v>233</v>
      </c>
      <c r="G5" s="39"/>
      <c r="H5" s="39"/>
      <c r="I5" s="206"/>
      <c r="P5" t="s">
        <v>2</v>
      </c>
      <c r="Q5" t="s">
        <v>99</v>
      </c>
      <c r="T5" s="261" t="s">
        <v>280</v>
      </c>
      <c r="U5" s="261" t="s">
        <v>281</v>
      </c>
      <c r="V5" s="261" t="s">
        <v>282</v>
      </c>
      <c r="W5" s="261" t="s">
        <v>273</v>
      </c>
      <c r="X5" s="261" t="s">
        <v>283</v>
      </c>
      <c r="AF5" t="s">
        <v>1822</v>
      </c>
      <c r="AG5" s="603">
        <f>AG8/AG7</f>
        <v>2.0708977452417323</v>
      </c>
    </row>
    <row r="6" spans="1:33">
      <c r="D6" s="208" t="s">
        <v>2</v>
      </c>
      <c r="E6" s="209" t="s">
        <v>99</v>
      </c>
      <c r="F6" s="209" t="s">
        <v>234</v>
      </c>
      <c r="G6" s="209" t="s">
        <v>235</v>
      </c>
      <c r="H6" s="209" t="s">
        <v>118</v>
      </c>
      <c r="I6" s="207" t="s">
        <v>236</v>
      </c>
      <c r="P6" s="336">
        <v>2019</v>
      </c>
      <c r="Q6" s="337">
        <v>28</v>
      </c>
      <c r="R6" s="338" t="s">
        <v>263</v>
      </c>
      <c r="S6" s="338" t="s">
        <v>264</v>
      </c>
      <c r="T6" s="339">
        <f>SUMIFS(T$33:T$172,$M$33:$M$172,$P6,$Q$33:$Q$172,$Q6)</f>
        <v>23898000</v>
      </c>
      <c r="U6" s="339">
        <f t="shared" ref="U6:X21" si="0">SUMIFS(U$33:U$172,$M$33:$M$172,$P6,$Q$33:$Q$172,$Q6)</f>
        <v>6793000</v>
      </c>
      <c r="V6" s="339">
        <f t="shared" si="0"/>
        <v>21677000</v>
      </c>
      <c r="W6" s="339">
        <f t="shared" si="0"/>
        <v>20135000</v>
      </c>
      <c r="X6" s="339">
        <f t="shared" si="0"/>
        <v>72503000</v>
      </c>
      <c r="AC6">
        <v>2019</v>
      </c>
      <c r="AD6" s="289" t="s">
        <v>292</v>
      </c>
      <c r="AE6">
        <v>5</v>
      </c>
      <c r="AF6" t="s">
        <v>305</v>
      </c>
      <c r="AG6" s="286">
        <f>(SUMIFS(AG33:AG79,AE33:AE79,AE6)+SUMIFS(AH33:AH79,AE33:AE79,AE6))/2</f>
        <v>25341</v>
      </c>
    </row>
    <row r="7" spans="1:33">
      <c r="D7" s="341">
        <v>2019</v>
      </c>
      <c r="E7" s="28">
        <v>91</v>
      </c>
      <c r="F7" s="28">
        <f t="shared" ref="F7:F16" si="1">SUMIFS(I$22:I$235,$A$22:$A$235,$D7,$E$22:$E$235,$E7)</f>
        <v>218</v>
      </c>
      <c r="G7" s="342">
        <f t="shared" ref="G7:G16" si="2">SUMIFS(J$22:J$235,$A$22:$A$235,$D7,$E$22:$E$235,$E7)</f>
        <v>46155</v>
      </c>
      <c r="H7" s="343">
        <f t="shared" ref="H7:H16" si="3">SUMIFS(K$22:K$235,$A$22:$A$235,$D7,$E$22:$E$235,$E7)</f>
        <v>601252000</v>
      </c>
      <c r="I7" s="344" t="s">
        <v>233</v>
      </c>
      <c r="P7" s="336">
        <v>2019</v>
      </c>
      <c r="Q7" s="337">
        <v>101</v>
      </c>
      <c r="R7" s="338" t="s">
        <v>263</v>
      </c>
      <c r="S7" s="338" t="s">
        <v>265</v>
      </c>
      <c r="T7" s="339">
        <f t="shared" ref="T7:X25" si="4">SUMIFS(T$33:T$172,$M$33:$M$172,$P7,$Q$33:$Q$172,$Q7)</f>
        <v>4240000</v>
      </c>
      <c r="U7" s="339">
        <f t="shared" si="0"/>
        <v>988000</v>
      </c>
      <c r="V7" s="339">
        <f t="shared" si="0"/>
        <v>29236000</v>
      </c>
      <c r="W7" s="339">
        <f t="shared" si="0"/>
        <v>26000</v>
      </c>
      <c r="X7" s="339">
        <f t="shared" si="0"/>
        <v>37971000</v>
      </c>
      <c r="AC7">
        <v>2019</v>
      </c>
      <c r="AD7" s="289">
        <v>750</v>
      </c>
      <c r="AE7">
        <v>4</v>
      </c>
      <c r="AF7" t="s">
        <v>311</v>
      </c>
      <c r="AG7" s="296">
        <f>SUMIFS(AG82:AG123,AE82:AE123,AE7)</f>
        <v>3430157774</v>
      </c>
    </row>
    <row r="8" spans="1:33">
      <c r="D8" s="341">
        <v>2018</v>
      </c>
      <c r="E8" s="28">
        <v>91</v>
      </c>
      <c r="F8" s="28">
        <f t="shared" si="1"/>
        <v>130</v>
      </c>
      <c r="G8" s="342">
        <f t="shared" si="2"/>
        <v>27464</v>
      </c>
      <c r="H8" s="343">
        <f t="shared" si="3"/>
        <v>369442000</v>
      </c>
      <c r="I8" s="344" t="s">
        <v>233</v>
      </c>
      <c r="P8" s="336">
        <v>2019</v>
      </c>
      <c r="Q8" s="337">
        <v>201</v>
      </c>
      <c r="R8" s="340" t="s">
        <v>37</v>
      </c>
      <c r="S8" s="340" t="s">
        <v>203</v>
      </c>
      <c r="T8" s="339">
        <f t="shared" si="4"/>
        <v>44862000</v>
      </c>
      <c r="U8" s="339">
        <f t="shared" si="0"/>
        <v>19766000</v>
      </c>
      <c r="V8" s="339">
        <f t="shared" si="0"/>
        <v>36504000</v>
      </c>
      <c r="W8" s="339">
        <f t="shared" si="0"/>
        <v>14393000</v>
      </c>
      <c r="X8" s="339">
        <f t="shared" si="0"/>
        <v>115525000</v>
      </c>
      <c r="AC8">
        <v>2019</v>
      </c>
      <c r="AD8" s="289">
        <v>750</v>
      </c>
      <c r="AE8">
        <v>5</v>
      </c>
      <c r="AF8" t="s">
        <v>312</v>
      </c>
      <c r="AG8" s="311">
        <f>SUMIFS(AG82:AG123,AE82:AE123,AE8)</f>
        <v>7103506000</v>
      </c>
    </row>
    <row r="9" spans="1:33">
      <c r="D9" s="341">
        <v>2017</v>
      </c>
      <c r="E9" s="28">
        <v>91</v>
      </c>
      <c r="F9" s="28">
        <f t="shared" si="1"/>
        <v>214</v>
      </c>
      <c r="G9" s="342">
        <f t="shared" si="2"/>
        <v>45128</v>
      </c>
      <c r="H9" s="343">
        <f t="shared" si="3"/>
        <v>507017000</v>
      </c>
      <c r="I9" s="344" t="s">
        <v>233</v>
      </c>
      <c r="P9" s="336">
        <v>2019</v>
      </c>
      <c r="Q9" s="337">
        <v>202</v>
      </c>
      <c r="R9" s="340" t="s">
        <v>37</v>
      </c>
      <c r="S9" s="340" t="s">
        <v>197</v>
      </c>
      <c r="T9" s="339">
        <f t="shared" si="4"/>
        <v>650313000</v>
      </c>
      <c r="U9" s="339">
        <f t="shared" si="0"/>
        <v>919829000</v>
      </c>
      <c r="V9" s="339">
        <f t="shared" si="0"/>
        <v>616337000</v>
      </c>
      <c r="W9" s="339">
        <f t="shared" si="0"/>
        <v>9112000</v>
      </c>
      <c r="X9" s="339">
        <f t="shared" si="0"/>
        <v>2195591000</v>
      </c>
      <c r="AC9">
        <v>2019</v>
      </c>
      <c r="AD9" s="289">
        <v>755</v>
      </c>
      <c r="AE9">
        <v>2</v>
      </c>
      <c r="AF9" t="s">
        <v>454</v>
      </c>
      <c r="AG9" s="296">
        <f>SUMIFS($AI$127:$AI$1008,$AE$127:$AE$1008,$AE9)</f>
        <v>114388716</v>
      </c>
    </row>
    <row r="10" spans="1:33">
      <c r="D10" s="341">
        <v>2016</v>
      </c>
      <c r="E10" s="28">
        <v>91</v>
      </c>
      <c r="F10" s="28">
        <f t="shared" si="1"/>
        <v>590</v>
      </c>
      <c r="G10" s="342">
        <f t="shared" si="2"/>
        <v>124181</v>
      </c>
      <c r="H10" s="343">
        <f t="shared" si="3"/>
        <v>1534089000</v>
      </c>
      <c r="I10" s="344" t="s">
        <v>233</v>
      </c>
      <c r="P10" s="336">
        <v>2019</v>
      </c>
      <c r="Q10" s="337">
        <v>203</v>
      </c>
      <c r="R10" s="340" t="s">
        <v>37</v>
      </c>
      <c r="S10" s="340" t="s">
        <v>198</v>
      </c>
      <c r="T10" s="339">
        <f t="shared" si="4"/>
        <v>5918000</v>
      </c>
      <c r="U10" s="339">
        <f t="shared" si="0"/>
        <v>5944000</v>
      </c>
      <c r="V10" s="339">
        <f t="shared" si="0"/>
        <v>6438000</v>
      </c>
      <c r="W10" s="339">
        <f t="shared" si="0"/>
        <v>0</v>
      </c>
      <c r="X10" s="339">
        <f t="shared" si="0"/>
        <v>18300000</v>
      </c>
      <c r="AC10">
        <v>2019</v>
      </c>
      <c r="AD10" s="289">
        <v>755</v>
      </c>
      <c r="AE10">
        <v>3</v>
      </c>
      <c r="AF10" t="s">
        <v>455</v>
      </c>
      <c r="AG10" s="296">
        <f>SUMIFS($AI$127:$AI$1008,$AE$127:$AE$1008,$AE10)</f>
        <v>45331905</v>
      </c>
    </row>
    <row r="11" spans="1:33">
      <c r="D11" s="341">
        <v>2015</v>
      </c>
      <c r="E11" s="28">
        <v>91</v>
      </c>
      <c r="F11" s="28">
        <f t="shared" si="1"/>
        <v>895</v>
      </c>
      <c r="G11" s="342">
        <f t="shared" si="2"/>
        <v>189873</v>
      </c>
      <c r="H11" s="343">
        <f t="shared" si="3"/>
        <v>2229472000</v>
      </c>
      <c r="I11" s="344" t="s">
        <v>233</v>
      </c>
      <c r="P11" s="336">
        <v>2019</v>
      </c>
      <c r="Q11" s="337">
        <v>204</v>
      </c>
      <c r="R11" s="340" t="s">
        <v>37</v>
      </c>
      <c r="S11" s="340" t="s">
        <v>199</v>
      </c>
      <c r="T11" s="339">
        <f t="shared" si="4"/>
        <v>1356000</v>
      </c>
      <c r="U11" s="339">
        <f t="shared" si="0"/>
        <v>306000</v>
      </c>
      <c r="V11" s="339">
        <f t="shared" si="0"/>
        <v>729000</v>
      </c>
      <c r="W11" s="339">
        <f t="shared" si="0"/>
        <v>0</v>
      </c>
      <c r="X11" s="339">
        <f t="shared" si="0"/>
        <v>2391000</v>
      </c>
      <c r="AC11">
        <v>2019</v>
      </c>
      <c r="AD11" s="289">
        <v>755</v>
      </c>
      <c r="AE11">
        <v>4</v>
      </c>
      <c r="AF11" t="s">
        <v>456</v>
      </c>
      <c r="AG11" s="296">
        <f>SUMIFS($AI$127:$AI$1008,$AE$127:$AE$1008,$AE11)</f>
        <v>284889314</v>
      </c>
    </row>
    <row r="12" spans="1:33">
      <c r="D12" s="341">
        <v>2019</v>
      </c>
      <c r="E12" s="28">
        <v>92</v>
      </c>
      <c r="F12" s="28">
        <f t="shared" si="1"/>
        <v>360</v>
      </c>
      <c r="G12" s="342">
        <f t="shared" si="2"/>
        <v>69079</v>
      </c>
      <c r="H12" s="343">
        <f t="shared" si="3"/>
        <v>352273000</v>
      </c>
      <c r="I12" s="344" t="s">
        <v>117</v>
      </c>
      <c r="P12" s="336">
        <v>2019</v>
      </c>
      <c r="Q12" s="337">
        <v>205</v>
      </c>
      <c r="R12" s="340" t="s">
        <v>37</v>
      </c>
      <c r="S12" s="340" t="s">
        <v>200</v>
      </c>
      <c r="T12" s="339">
        <f t="shared" si="4"/>
        <v>0</v>
      </c>
      <c r="U12" s="339">
        <f t="shared" si="0"/>
        <v>0</v>
      </c>
      <c r="V12" s="339">
        <f t="shared" si="0"/>
        <v>0</v>
      </c>
      <c r="W12" s="339">
        <f t="shared" si="0"/>
        <v>306342000</v>
      </c>
      <c r="X12" s="339">
        <f t="shared" si="0"/>
        <v>306342000</v>
      </c>
      <c r="AC12">
        <v>2019</v>
      </c>
      <c r="AD12" s="289">
        <v>755</v>
      </c>
      <c r="AE12">
        <v>5</v>
      </c>
      <c r="AF12" t="s">
        <v>457</v>
      </c>
      <c r="AG12" s="296">
        <f>SUMIFS($AI$127:$AI$1008,$AE$127:$AE$1008,$AE12)</f>
        <v>444609935</v>
      </c>
    </row>
    <row r="13" spans="1:33">
      <c r="D13" s="341">
        <v>2018</v>
      </c>
      <c r="E13" s="28">
        <v>92</v>
      </c>
      <c r="F13" s="28">
        <f t="shared" si="1"/>
        <v>317</v>
      </c>
      <c r="G13" s="342">
        <f t="shared" si="2"/>
        <v>60908</v>
      </c>
      <c r="H13" s="343">
        <f t="shared" si="3"/>
        <v>266018000</v>
      </c>
      <c r="I13" s="344" t="s">
        <v>117</v>
      </c>
      <c r="P13" s="336">
        <v>2019</v>
      </c>
      <c r="Q13" s="337">
        <v>206</v>
      </c>
      <c r="R13" s="340" t="s">
        <v>37</v>
      </c>
      <c r="S13" s="340" t="s">
        <v>201</v>
      </c>
      <c r="T13" s="339">
        <f t="shared" si="4"/>
        <v>0</v>
      </c>
      <c r="U13" s="339">
        <f t="shared" si="0"/>
        <v>0</v>
      </c>
      <c r="V13" s="339">
        <f t="shared" si="0"/>
        <v>0</v>
      </c>
      <c r="W13" s="339">
        <f t="shared" si="0"/>
        <v>27269000</v>
      </c>
      <c r="X13" s="339">
        <f t="shared" si="0"/>
        <v>27269000</v>
      </c>
      <c r="AC13">
        <v>2019</v>
      </c>
      <c r="AD13" s="289">
        <v>755</v>
      </c>
      <c r="AE13">
        <v>8</v>
      </c>
      <c r="AF13" t="s">
        <v>458</v>
      </c>
      <c r="AG13" s="296">
        <f t="shared" ref="AG13:AG26" si="5">SUMIFS($AI$127:$AI$1008,$AE$127:$AE$1008,$AE13)</f>
        <v>355311155</v>
      </c>
    </row>
    <row r="14" spans="1:33">
      <c r="D14" s="341">
        <v>2017</v>
      </c>
      <c r="E14" s="28">
        <v>92</v>
      </c>
      <c r="F14" s="28">
        <f t="shared" si="1"/>
        <v>332</v>
      </c>
      <c r="G14" s="342">
        <f t="shared" si="2"/>
        <v>60087</v>
      </c>
      <c r="H14" s="343">
        <f t="shared" si="3"/>
        <v>234366000</v>
      </c>
      <c r="I14" s="344" t="s">
        <v>117</v>
      </c>
      <c r="P14" s="336">
        <v>2019</v>
      </c>
      <c r="Q14" s="337">
        <v>207</v>
      </c>
      <c r="R14" s="340" t="s">
        <v>37</v>
      </c>
      <c r="S14" s="340" t="s">
        <v>137</v>
      </c>
      <c r="T14" s="339">
        <f t="shared" si="4"/>
        <v>0</v>
      </c>
      <c r="U14" s="339">
        <f t="shared" si="0"/>
        <v>0</v>
      </c>
      <c r="V14" s="339">
        <f t="shared" si="0"/>
        <v>461493000</v>
      </c>
      <c r="W14" s="339">
        <f t="shared" si="0"/>
        <v>0</v>
      </c>
      <c r="X14" s="339">
        <f t="shared" si="0"/>
        <v>461493000</v>
      </c>
      <c r="AC14">
        <v>2019</v>
      </c>
      <c r="AD14" s="289">
        <v>755</v>
      </c>
      <c r="AE14">
        <v>9</v>
      </c>
      <c r="AF14" t="s">
        <v>459</v>
      </c>
      <c r="AG14" s="296">
        <f t="shared" si="5"/>
        <v>82006516</v>
      </c>
    </row>
    <row r="15" spans="1:33">
      <c r="D15" s="341">
        <v>2016</v>
      </c>
      <c r="E15" s="28">
        <v>92</v>
      </c>
      <c r="F15" s="28">
        <f t="shared" si="1"/>
        <v>338</v>
      </c>
      <c r="G15" s="342">
        <f t="shared" si="2"/>
        <v>65179</v>
      </c>
      <c r="H15" s="343">
        <f t="shared" si="3"/>
        <v>314983000</v>
      </c>
      <c r="I15" s="344" t="s">
        <v>117</v>
      </c>
      <c r="P15" s="336">
        <v>2019</v>
      </c>
      <c r="Q15" s="337">
        <v>208</v>
      </c>
      <c r="R15" s="340" t="s">
        <v>37</v>
      </c>
      <c r="S15" s="340" t="s">
        <v>138</v>
      </c>
      <c r="T15" s="339">
        <f t="shared" si="4"/>
        <v>0</v>
      </c>
      <c r="U15" s="339">
        <f t="shared" si="0"/>
        <v>0</v>
      </c>
      <c r="V15" s="339">
        <f t="shared" si="0"/>
        <v>-35475000</v>
      </c>
      <c r="W15" s="339">
        <f t="shared" si="0"/>
        <v>0</v>
      </c>
      <c r="X15" s="339">
        <f t="shared" si="0"/>
        <v>-35475000</v>
      </c>
      <c r="AC15">
        <v>2019</v>
      </c>
      <c r="AD15" s="289">
        <v>755</v>
      </c>
      <c r="AE15">
        <v>10</v>
      </c>
      <c r="AF15" t="s">
        <v>460</v>
      </c>
      <c r="AG15" s="296">
        <f t="shared" si="5"/>
        <v>814737267</v>
      </c>
    </row>
    <row r="16" spans="1:33" ht="17" thickBot="1">
      <c r="D16" s="345">
        <v>2015</v>
      </c>
      <c r="E16" s="346">
        <v>92</v>
      </c>
      <c r="F16" s="346">
        <f t="shared" si="1"/>
        <v>203</v>
      </c>
      <c r="G16" s="347">
        <f t="shared" si="2"/>
        <v>36791</v>
      </c>
      <c r="H16" s="348">
        <f t="shared" si="3"/>
        <v>225240000</v>
      </c>
      <c r="I16" s="349" t="s">
        <v>117</v>
      </c>
      <c r="P16" s="336">
        <v>2019</v>
      </c>
      <c r="Q16" s="337">
        <v>209</v>
      </c>
      <c r="R16" s="340" t="s">
        <v>37</v>
      </c>
      <c r="S16" s="340" t="s">
        <v>139</v>
      </c>
      <c r="T16" s="339">
        <f t="shared" si="4"/>
        <v>0</v>
      </c>
      <c r="U16" s="339">
        <f t="shared" si="0"/>
        <v>0</v>
      </c>
      <c r="V16" s="339">
        <f t="shared" si="0"/>
        <v>266000</v>
      </c>
      <c r="W16" s="339">
        <f t="shared" si="0"/>
        <v>0</v>
      </c>
      <c r="X16" s="339">
        <f t="shared" si="0"/>
        <v>266000</v>
      </c>
      <c r="AC16">
        <v>2019</v>
      </c>
      <c r="AD16" s="289">
        <v>755</v>
      </c>
      <c r="AE16">
        <v>11</v>
      </c>
      <c r="AF16" t="s">
        <v>461</v>
      </c>
      <c r="AG16" s="296">
        <f t="shared" si="5"/>
        <v>1252054938</v>
      </c>
    </row>
    <row r="17" spans="1:36">
      <c r="P17" s="336">
        <v>2019</v>
      </c>
      <c r="Q17" s="337">
        <v>210</v>
      </c>
      <c r="R17" s="340" t="s">
        <v>37</v>
      </c>
      <c r="S17" s="340" t="s">
        <v>140</v>
      </c>
      <c r="T17" s="339">
        <f t="shared" si="4"/>
        <v>0</v>
      </c>
      <c r="U17" s="339">
        <f t="shared" si="0"/>
        <v>0</v>
      </c>
      <c r="V17" s="339">
        <f t="shared" si="0"/>
        <v>0</v>
      </c>
      <c r="W17" s="339">
        <f t="shared" si="0"/>
        <v>0</v>
      </c>
      <c r="X17" s="339">
        <f t="shared" si="0"/>
        <v>0</v>
      </c>
      <c r="AC17">
        <v>2019</v>
      </c>
      <c r="AD17" s="289">
        <v>755</v>
      </c>
      <c r="AE17">
        <v>12</v>
      </c>
      <c r="AF17" t="s">
        <v>462</v>
      </c>
      <c r="AG17" s="296">
        <f t="shared" si="5"/>
        <v>26729186</v>
      </c>
    </row>
    <row r="18" spans="1:36">
      <c r="P18" s="336">
        <v>2019</v>
      </c>
      <c r="Q18" s="337">
        <v>211</v>
      </c>
      <c r="R18" s="340" t="s">
        <v>37</v>
      </c>
      <c r="S18" s="340" t="s">
        <v>141</v>
      </c>
      <c r="T18" s="339">
        <f t="shared" si="4"/>
        <v>0</v>
      </c>
      <c r="U18" s="339">
        <f t="shared" si="0"/>
        <v>0</v>
      </c>
      <c r="V18" s="339">
        <f t="shared" si="0"/>
        <v>12974000</v>
      </c>
      <c r="W18" s="339">
        <f t="shared" si="0"/>
        <v>0</v>
      </c>
      <c r="X18" s="339">
        <f t="shared" si="0"/>
        <v>12974000</v>
      </c>
      <c r="AC18">
        <v>2019</v>
      </c>
      <c r="AD18" s="289">
        <v>755</v>
      </c>
      <c r="AE18">
        <v>13</v>
      </c>
      <c r="AF18" t="s">
        <v>463</v>
      </c>
      <c r="AG18" s="296">
        <f t="shared" si="5"/>
        <v>66867125</v>
      </c>
    </row>
    <row r="19" spans="1:36" ht="19">
      <c r="A19" s="252" t="s">
        <v>237</v>
      </c>
      <c r="P19" s="336">
        <v>2019</v>
      </c>
      <c r="Q19" s="337">
        <v>212</v>
      </c>
      <c r="R19" s="340" t="s">
        <v>37</v>
      </c>
      <c r="S19" s="340" t="s">
        <v>142</v>
      </c>
      <c r="T19" s="339">
        <f t="shared" si="4"/>
        <v>0</v>
      </c>
      <c r="U19" s="339">
        <f t="shared" si="0"/>
        <v>0</v>
      </c>
      <c r="V19" s="339">
        <f t="shared" si="0"/>
        <v>-40764000</v>
      </c>
      <c r="W19" s="339">
        <f t="shared" si="0"/>
        <v>0</v>
      </c>
      <c r="X19" s="339">
        <f t="shared" si="0"/>
        <v>-40764000</v>
      </c>
      <c r="AC19">
        <v>2019</v>
      </c>
      <c r="AD19" s="289">
        <v>755</v>
      </c>
      <c r="AE19">
        <v>14</v>
      </c>
      <c r="AF19" t="s">
        <v>464</v>
      </c>
      <c r="AG19" s="296">
        <f t="shared" si="5"/>
        <v>1345651249</v>
      </c>
    </row>
    <row r="20" spans="1:36" ht="17">
      <c r="E20" s="250" t="s">
        <v>238</v>
      </c>
      <c r="F20" s="203" t="s">
        <v>239</v>
      </c>
      <c r="G20" s="250" t="s">
        <v>275</v>
      </c>
      <c r="H20" s="250" t="s">
        <v>276</v>
      </c>
      <c r="I20" s="251" t="s">
        <v>277</v>
      </c>
      <c r="J20" s="251" t="s">
        <v>278</v>
      </c>
      <c r="K20" s="251" t="s">
        <v>279</v>
      </c>
      <c r="P20" s="336">
        <v>2019</v>
      </c>
      <c r="Q20" s="337">
        <v>213</v>
      </c>
      <c r="R20" s="340" t="s">
        <v>37</v>
      </c>
      <c r="S20" s="340" t="s">
        <v>145</v>
      </c>
      <c r="T20" s="339">
        <f t="shared" si="4"/>
        <v>0</v>
      </c>
      <c r="U20" s="339">
        <f t="shared" si="0"/>
        <v>0</v>
      </c>
      <c r="V20" s="339">
        <f t="shared" si="0"/>
        <v>0</v>
      </c>
      <c r="W20" s="339">
        <f t="shared" si="0"/>
        <v>1389875000</v>
      </c>
      <c r="X20" s="339">
        <f t="shared" si="0"/>
        <v>1389875000</v>
      </c>
      <c r="AC20">
        <v>2019</v>
      </c>
      <c r="AD20" s="289">
        <v>755</v>
      </c>
      <c r="AE20">
        <v>85</v>
      </c>
      <c r="AF20" t="s">
        <v>465</v>
      </c>
      <c r="AG20" s="296">
        <f t="shared" si="5"/>
        <v>12455233000</v>
      </c>
    </row>
    <row r="21" spans="1:36">
      <c r="E21" s="203"/>
      <c r="F21" s="203" t="s">
        <v>240</v>
      </c>
      <c r="G21" s="203"/>
      <c r="H21" s="203"/>
      <c r="I21" s="202" t="s">
        <v>241</v>
      </c>
      <c r="J21" s="202" t="s">
        <v>242</v>
      </c>
      <c r="K21" s="202" t="s">
        <v>243</v>
      </c>
      <c r="P21" s="336">
        <v>2019</v>
      </c>
      <c r="Q21" s="337">
        <v>214</v>
      </c>
      <c r="R21" s="340" t="s">
        <v>37</v>
      </c>
      <c r="S21" s="340" t="s">
        <v>152</v>
      </c>
      <c r="T21" s="339">
        <f t="shared" si="4"/>
        <v>0</v>
      </c>
      <c r="U21" s="339">
        <f t="shared" si="0"/>
        <v>0</v>
      </c>
      <c r="V21" s="339">
        <f t="shared" si="0"/>
        <v>5673000</v>
      </c>
      <c r="W21" s="339">
        <f t="shared" si="0"/>
        <v>0</v>
      </c>
      <c r="X21" s="339">
        <f t="shared" si="0"/>
        <v>5673000</v>
      </c>
      <c r="AC21">
        <v>2019</v>
      </c>
      <c r="AD21" s="289">
        <v>755</v>
      </c>
      <c r="AE21">
        <v>86</v>
      </c>
      <c r="AF21" t="s">
        <v>466</v>
      </c>
      <c r="AG21" s="296">
        <f t="shared" si="5"/>
        <v>1265597000</v>
      </c>
    </row>
    <row r="22" spans="1:36">
      <c r="A22">
        <v>2019</v>
      </c>
      <c r="B22">
        <v>3740</v>
      </c>
      <c r="C22" t="s">
        <v>244</v>
      </c>
      <c r="D22" t="s">
        <v>245</v>
      </c>
      <c r="E22" s="203">
        <v>91</v>
      </c>
      <c r="F22" s="203" t="s">
        <v>246</v>
      </c>
      <c r="G22" s="203" t="s">
        <v>247</v>
      </c>
      <c r="H22" s="203" t="s">
        <v>248</v>
      </c>
      <c r="I22" s="202">
        <v>0</v>
      </c>
      <c r="J22" s="202">
        <v>0</v>
      </c>
      <c r="K22" s="202">
        <v>0</v>
      </c>
      <c r="P22" s="336">
        <v>2019</v>
      </c>
      <c r="Q22" s="337">
        <v>215</v>
      </c>
      <c r="R22" s="340" t="s">
        <v>37</v>
      </c>
      <c r="S22" s="340" t="s">
        <v>153</v>
      </c>
      <c r="T22" s="339">
        <f t="shared" si="4"/>
        <v>0</v>
      </c>
      <c r="U22" s="339">
        <f t="shared" si="4"/>
        <v>0</v>
      </c>
      <c r="V22" s="339">
        <f t="shared" si="4"/>
        <v>0</v>
      </c>
      <c r="W22" s="339">
        <f t="shared" si="4"/>
        <v>0</v>
      </c>
      <c r="X22" s="339">
        <f t="shared" si="4"/>
        <v>0</v>
      </c>
      <c r="AC22">
        <v>2019</v>
      </c>
      <c r="AD22" s="289">
        <v>755</v>
      </c>
      <c r="AE22">
        <v>87</v>
      </c>
      <c r="AF22" t="s">
        <v>467</v>
      </c>
      <c r="AG22" s="296">
        <f t="shared" si="5"/>
        <v>19521160000</v>
      </c>
    </row>
    <row r="23" spans="1:36">
      <c r="A23">
        <v>2019</v>
      </c>
      <c r="B23">
        <v>3740</v>
      </c>
      <c r="C23" t="s">
        <v>244</v>
      </c>
      <c r="D23" t="s">
        <v>245</v>
      </c>
      <c r="E23" s="203">
        <v>92</v>
      </c>
      <c r="F23" s="203" t="s">
        <v>246</v>
      </c>
      <c r="G23" s="203" t="s">
        <v>247</v>
      </c>
      <c r="H23" s="204" t="s">
        <v>249</v>
      </c>
      <c r="I23" s="202">
        <v>203</v>
      </c>
      <c r="J23" s="202">
        <v>36175</v>
      </c>
      <c r="K23" s="202">
        <v>73476000</v>
      </c>
      <c r="P23" s="336">
        <v>2019</v>
      </c>
      <c r="Q23" s="337">
        <v>216</v>
      </c>
      <c r="R23" s="340" t="s">
        <v>37</v>
      </c>
      <c r="S23" s="340" t="s">
        <v>202</v>
      </c>
      <c r="T23" s="339">
        <f t="shared" si="4"/>
        <v>0</v>
      </c>
      <c r="U23" s="339">
        <f t="shared" si="4"/>
        <v>0</v>
      </c>
      <c r="V23" s="339">
        <f t="shared" si="4"/>
        <v>-108666000</v>
      </c>
      <c r="W23" s="339">
        <f t="shared" si="4"/>
        <v>0</v>
      </c>
      <c r="X23" s="339">
        <f t="shared" si="4"/>
        <v>-108666000</v>
      </c>
      <c r="AC23">
        <v>2019</v>
      </c>
      <c r="AD23" s="289">
        <v>755</v>
      </c>
      <c r="AE23">
        <v>88</v>
      </c>
      <c r="AF23" t="s">
        <v>468</v>
      </c>
      <c r="AG23" s="296">
        <f t="shared" si="5"/>
        <v>33241990000</v>
      </c>
    </row>
    <row r="24" spans="1:36">
      <c r="A24">
        <v>2019</v>
      </c>
      <c r="B24">
        <v>3740</v>
      </c>
      <c r="C24" t="s">
        <v>244</v>
      </c>
      <c r="D24" t="s">
        <v>245</v>
      </c>
      <c r="E24" s="203">
        <v>93</v>
      </c>
      <c r="F24" s="203" t="s">
        <v>250</v>
      </c>
      <c r="G24" s="203" t="s">
        <v>247</v>
      </c>
      <c r="H24" s="203" t="s">
        <v>248</v>
      </c>
      <c r="I24" s="202">
        <v>13</v>
      </c>
      <c r="J24" s="202">
        <v>579</v>
      </c>
      <c r="K24" s="202">
        <v>3146000</v>
      </c>
      <c r="P24" s="336">
        <v>2019</v>
      </c>
      <c r="Q24" s="337">
        <v>217</v>
      </c>
      <c r="R24" s="340" t="s">
        <v>37</v>
      </c>
      <c r="S24" s="340" t="s">
        <v>156</v>
      </c>
      <c r="T24" s="339">
        <f t="shared" si="4"/>
        <v>0</v>
      </c>
      <c r="U24" s="339">
        <f t="shared" si="4"/>
        <v>0</v>
      </c>
      <c r="V24" s="339">
        <f t="shared" si="4"/>
        <v>0</v>
      </c>
      <c r="W24" s="339">
        <f t="shared" si="4"/>
        <v>0</v>
      </c>
      <c r="X24" s="339">
        <f t="shared" si="4"/>
        <v>0</v>
      </c>
      <c r="AC24">
        <v>2019</v>
      </c>
      <c r="AD24" s="289">
        <v>755</v>
      </c>
      <c r="AE24">
        <v>115</v>
      </c>
      <c r="AF24" t="s">
        <v>469</v>
      </c>
      <c r="AG24" s="296">
        <f t="shared" si="5"/>
        <v>24079017</v>
      </c>
    </row>
    <row r="25" spans="1:36">
      <c r="A25">
        <v>2019</v>
      </c>
      <c r="B25">
        <v>3740</v>
      </c>
      <c r="C25" t="s">
        <v>244</v>
      </c>
      <c r="D25" t="s">
        <v>245</v>
      </c>
      <c r="E25" s="203">
        <v>94</v>
      </c>
      <c r="F25" s="203" t="s">
        <v>250</v>
      </c>
      <c r="G25" s="203" t="s">
        <v>247</v>
      </c>
      <c r="H25" s="204" t="s">
        <v>249</v>
      </c>
      <c r="I25" s="202">
        <v>0</v>
      </c>
      <c r="J25" s="202">
        <v>0</v>
      </c>
      <c r="K25" s="202">
        <v>0</v>
      </c>
      <c r="P25" s="336">
        <v>2019</v>
      </c>
      <c r="Q25" s="337">
        <v>218</v>
      </c>
      <c r="R25" s="340" t="s">
        <v>37</v>
      </c>
      <c r="S25" s="340" t="s">
        <v>158</v>
      </c>
      <c r="T25" s="339">
        <f t="shared" si="4"/>
        <v>10320000</v>
      </c>
      <c r="U25" s="339">
        <f t="shared" si="4"/>
        <v>3257000</v>
      </c>
      <c r="V25" s="339">
        <f t="shared" si="4"/>
        <v>16247000</v>
      </c>
      <c r="W25" s="339">
        <f t="shared" si="4"/>
        <v>114269000</v>
      </c>
      <c r="X25" s="339">
        <f t="shared" si="4"/>
        <v>144093000</v>
      </c>
      <c r="AC25">
        <v>2019</v>
      </c>
      <c r="AD25" s="289">
        <v>755</v>
      </c>
      <c r="AE25">
        <v>116</v>
      </c>
      <c r="AF25" t="s">
        <v>470</v>
      </c>
      <c r="AG25" s="296">
        <f t="shared" si="5"/>
        <v>2602155</v>
      </c>
    </row>
    <row r="26" spans="1:36">
      <c r="A26">
        <v>2019</v>
      </c>
      <c r="B26">
        <v>3740</v>
      </c>
      <c r="C26" t="s">
        <v>244</v>
      </c>
      <c r="D26" t="s">
        <v>245</v>
      </c>
      <c r="E26" s="203">
        <v>97</v>
      </c>
      <c r="F26" s="203" t="s">
        <v>251</v>
      </c>
      <c r="G26" s="203" t="s">
        <v>247</v>
      </c>
      <c r="H26" s="203" t="s">
        <v>248</v>
      </c>
      <c r="I26" s="202">
        <v>0</v>
      </c>
      <c r="J26" s="202">
        <v>0</v>
      </c>
      <c r="K26" s="202">
        <v>0</v>
      </c>
      <c r="P26" s="336"/>
      <c r="Q26" s="336"/>
      <c r="R26" s="336"/>
      <c r="S26" s="336"/>
      <c r="T26" s="339"/>
      <c r="U26" s="339"/>
      <c r="V26" s="339"/>
      <c r="W26" s="339"/>
      <c r="X26" s="339">
        <f>SUM(X6:X25)</f>
        <v>4605361000</v>
      </c>
      <c r="AC26">
        <v>2019</v>
      </c>
      <c r="AD26" s="289">
        <v>755</v>
      </c>
      <c r="AE26">
        <v>117</v>
      </c>
      <c r="AF26" t="s">
        <v>471</v>
      </c>
      <c r="AG26" s="296">
        <f t="shared" si="5"/>
        <v>8951547</v>
      </c>
    </row>
    <row r="27" spans="1:36">
      <c r="A27">
        <v>2019</v>
      </c>
      <c r="B27">
        <v>3740</v>
      </c>
      <c r="C27" t="s">
        <v>244</v>
      </c>
      <c r="D27" t="s">
        <v>245</v>
      </c>
      <c r="E27" s="203">
        <v>98</v>
      </c>
      <c r="F27" s="203" t="s">
        <v>251</v>
      </c>
      <c r="G27" s="203" t="s">
        <v>247</v>
      </c>
      <c r="H27" s="204" t="s">
        <v>249</v>
      </c>
      <c r="I27" s="202">
        <v>0</v>
      </c>
      <c r="J27" s="202">
        <v>0</v>
      </c>
      <c r="K27" s="202">
        <v>0</v>
      </c>
      <c r="AC27">
        <v>2019</v>
      </c>
      <c r="AD27" s="289">
        <v>755</v>
      </c>
      <c r="AF27" t="s">
        <v>1613</v>
      </c>
      <c r="AG27" s="478">
        <f>AG13/AG9</f>
        <v>3.1061731211319832</v>
      </c>
    </row>
    <row r="28" spans="1:36">
      <c r="A28">
        <v>2019</v>
      </c>
      <c r="B28">
        <v>3680</v>
      </c>
      <c r="C28" t="s">
        <v>252</v>
      </c>
      <c r="D28" t="s">
        <v>245</v>
      </c>
      <c r="E28" s="203">
        <v>91</v>
      </c>
      <c r="F28" s="203" t="s">
        <v>246</v>
      </c>
      <c r="G28" s="203" t="s">
        <v>247</v>
      </c>
      <c r="H28" s="203" t="s">
        <v>248</v>
      </c>
      <c r="I28" s="202">
        <v>0</v>
      </c>
      <c r="J28" s="202">
        <v>0</v>
      </c>
      <c r="K28" s="202">
        <v>0</v>
      </c>
      <c r="AC28">
        <v>2019</v>
      </c>
      <c r="AD28" s="289">
        <v>755</v>
      </c>
      <c r="AF28" t="s">
        <v>1614</v>
      </c>
      <c r="AG28" s="478">
        <f>AG14/AG10</f>
        <v>1.8090242622717929</v>
      </c>
    </row>
    <row r="29" spans="1:36">
      <c r="A29">
        <v>2019</v>
      </c>
      <c r="B29">
        <v>3680</v>
      </c>
      <c r="C29" t="s">
        <v>252</v>
      </c>
      <c r="D29" t="s">
        <v>245</v>
      </c>
      <c r="E29" s="203">
        <v>92</v>
      </c>
      <c r="F29" s="203" t="s">
        <v>246</v>
      </c>
      <c r="G29" s="203" t="s">
        <v>247</v>
      </c>
      <c r="H29" s="204" t="s">
        <v>249</v>
      </c>
      <c r="I29" s="202">
        <v>0</v>
      </c>
      <c r="J29" s="202">
        <v>0</v>
      </c>
      <c r="K29" s="202">
        <v>0</v>
      </c>
      <c r="AC29">
        <v>2019</v>
      </c>
      <c r="AD29" s="289">
        <v>755</v>
      </c>
      <c r="AF29" t="s">
        <v>1615</v>
      </c>
      <c r="AG29" s="478">
        <f>AG15/AG11</f>
        <v>2.8598379334087625</v>
      </c>
    </row>
    <row r="30" spans="1:36" ht="19">
      <c r="A30">
        <v>2019</v>
      </c>
      <c r="B30">
        <v>3680</v>
      </c>
      <c r="C30" t="s">
        <v>252</v>
      </c>
      <c r="D30" t="s">
        <v>245</v>
      </c>
      <c r="E30" s="203">
        <v>93</v>
      </c>
      <c r="F30" s="203" t="s">
        <v>250</v>
      </c>
      <c r="G30" s="203" t="s">
        <v>247</v>
      </c>
      <c r="H30" s="203" t="s">
        <v>248</v>
      </c>
      <c r="I30" s="202">
        <v>0</v>
      </c>
      <c r="J30" s="202">
        <v>0</v>
      </c>
      <c r="K30" s="202">
        <v>0</v>
      </c>
      <c r="M30" s="252" t="s">
        <v>237</v>
      </c>
      <c r="AF30" t="s">
        <v>1616</v>
      </c>
      <c r="AG30" s="478">
        <f>AG16/AG12</f>
        <v>2.8160750344006593</v>
      </c>
    </row>
    <row r="31" spans="1:36" ht="48">
      <c r="A31">
        <v>2019</v>
      </c>
      <c r="B31">
        <v>3680</v>
      </c>
      <c r="C31" t="s">
        <v>252</v>
      </c>
      <c r="D31" t="s">
        <v>245</v>
      </c>
      <c r="E31" s="203">
        <v>94</v>
      </c>
      <c r="F31" s="203" t="s">
        <v>250</v>
      </c>
      <c r="G31" s="203" t="s">
        <v>247</v>
      </c>
      <c r="H31" s="203" t="s">
        <v>249</v>
      </c>
      <c r="I31" s="202">
        <v>0</v>
      </c>
      <c r="J31" s="202">
        <v>0</v>
      </c>
      <c r="K31" s="202">
        <v>0</v>
      </c>
      <c r="M31" s="257" t="s">
        <v>2</v>
      </c>
      <c r="N31" s="257" t="s">
        <v>266</v>
      </c>
      <c r="O31" s="257" t="s">
        <v>267</v>
      </c>
      <c r="P31" s="258" t="s">
        <v>98</v>
      </c>
      <c r="Q31" s="259" t="s">
        <v>99</v>
      </c>
      <c r="R31" s="260" t="s">
        <v>268</v>
      </c>
      <c r="S31" s="260" t="s">
        <v>269</v>
      </c>
      <c r="T31" s="262" t="s">
        <v>270</v>
      </c>
      <c r="U31" s="263" t="s">
        <v>271</v>
      </c>
      <c r="V31" s="263" t="s">
        <v>272</v>
      </c>
      <c r="W31" s="263" t="s">
        <v>273</v>
      </c>
      <c r="X31" s="264" t="s">
        <v>274</v>
      </c>
      <c r="AA31" s="277"/>
      <c r="AB31" s="278"/>
      <c r="AC31" s="278"/>
      <c r="AD31" s="290"/>
      <c r="AE31" s="279"/>
      <c r="AF31" s="280"/>
      <c r="AG31" s="287"/>
      <c r="AH31" s="1052"/>
      <c r="AI31" s="1052"/>
      <c r="AJ31" s="1052"/>
    </row>
    <row r="32" spans="1:36" ht="32">
      <c r="A32">
        <v>2019</v>
      </c>
      <c r="B32">
        <v>3680</v>
      </c>
      <c r="C32" t="s">
        <v>252</v>
      </c>
      <c r="D32" t="s">
        <v>245</v>
      </c>
      <c r="E32" s="203">
        <v>97</v>
      </c>
      <c r="F32" s="203" t="s">
        <v>251</v>
      </c>
      <c r="G32" s="203" t="s">
        <v>247</v>
      </c>
      <c r="H32" s="203" t="s">
        <v>248</v>
      </c>
      <c r="I32" s="202">
        <v>0</v>
      </c>
      <c r="J32" s="202">
        <v>0</v>
      </c>
      <c r="K32" s="202">
        <v>0</v>
      </c>
      <c r="AA32" s="281" t="s">
        <v>2</v>
      </c>
      <c r="AB32" s="282" t="s">
        <v>266</v>
      </c>
      <c r="AC32" s="282" t="s">
        <v>267</v>
      </c>
      <c r="AD32" s="291" t="s">
        <v>98</v>
      </c>
      <c r="AE32" s="283" t="s">
        <v>99</v>
      </c>
      <c r="AF32" s="284" t="s">
        <v>300</v>
      </c>
      <c r="AG32" s="285" t="s">
        <v>302</v>
      </c>
      <c r="AH32" s="285" t="s">
        <v>303</v>
      </c>
      <c r="AI32" s="285" t="s">
        <v>301</v>
      </c>
      <c r="AJ32" s="285" t="s">
        <v>304</v>
      </c>
    </row>
    <row r="33" spans="1:36" ht="16" customHeight="1">
      <c r="A33">
        <v>2019</v>
      </c>
      <c r="B33">
        <v>3680</v>
      </c>
      <c r="C33" t="s">
        <v>252</v>
      </c>
      <c r="D33" t="s">
        <v>245</v>
      </c>
      <c r="E33" s="203">
        <v>98</v>
      </c>
      <c r="F33" s="203" t="s">
        <v>251</v>
      </c>
      <c r="G33" s="203" t="s">
        <v>247</v>
      </c>
      <c r="H33" s="204" t="s">
        <v>249</v>
      </c>
      <c r="I33" s="202">
        <v>0</v>
      </c>
      <c r="J33" s="202">
        <v>0</v>
      </c>
      <c r="K33" s="202">
        <v>0</v>
      </c>
      <c r="M33" s="254">
        <v>2019</v>
      </c>
      <c r="N33" s="254">
        <v>3740</v>
      </c>
      <c r="O33" s="255" t="s">
        <v>244</v>
      </c>
      <c r="P33" s="254">
        <v>410</v>
      </c>
      <c r="Q33" s="254">
        <v>28</v>
      </c>
      <c r="R33" s="256" t="s">
        <v>263</v>
      </c>
      <c r="S33" s="256" t="s">
        <v>264</v>
      </c>
      <c r="T33" s="265">
        <v>14571000</v>
      </c>
      <c r="U33" s="265">
        <v>0</v>
      </c>
      <c r="V33" s="265">
        <v>2618000</v>
      </c>
      <c r="W33" s="265">
        <v>0</v>
      </c>
      <c r="X33" s="265">
        <v>17189000</v>
      </c>
      <c r="AA33" s="272">
        <v>2019</v>
      </c>
      <c r="AB33" s="272">
        <v>1370</v>
      </c>
      <c r="AC33" s="273" t="s">
        <v>255</v>
      </c>
      <c r="AD33" s="272" t="s">
        <v>292</v>
      </c>
      <c r="AE33" s="272">
        <v>1</v>
      </c>
      <c r="AF33" s="274" t="s">
        <v>293</v>
      </c>
      <c r="AG33" s="275">
        <v>613</v>
      </c>
      <c r="AH33" s="275">
        <v>742</v>
      </c>
      <c r="AI33" s="275">
        <v>3040600</v>
      </c>
      <c r="AJ33" s="276">
        <v>4097.8436657681941</v>
      </c>
    </row>
    <row r="34" spans="1:36" ht="16" customHeight="1">
      <c r="A34">
        <v>2019</v>
      </c>
      <c r="B34">
        <v>3410</v>
      </c>
      <c r="C34" t="s">
        <v>253</v>
      </c>
      <c r="D34" t="s">
        <v>245</v>
      </c>
      <c r="E34" s="203">
        <v>91</v>
      </c>
      <c r="F34" s="203" t="s">
        <v>246</v>
      </c>
      <c r="G34" s="203" t="s">
        <v>247</v>
      </c>
      <c r="H34" s="203" t="s">
        <v>248</v>
      </c>
      <c r="I34" s="202">
        <v>25</v>
      </c>
      <c r="J34" s="202">
        <v>5400</v>
      </c>
      <c r="K34" s="202">
        <v>72820000</v>
      </c>
      <c r="M34" s="254">
        <v>2019</v>
      </c>
      <c r="N34" s="254">
        <v>3740</v>
      </c>
      <c r="O34" s="255" t="s">
        <v>244</v>
      </c>
      <c r="P34" s="254">
        <v>410</v>
      </c>
      <c r="Q34" s="254">
        <v>101</v>
      </c>
      <c r="R34" s="256" t="s">
        <v>263</v>
      </c>
      <c r="S34" s="256" t="s">
        <v>265</v>
      </c>
      <c r="T34" s="265">
        <v>483000</v>
      </c>
      <c r="U34" s="265">
        <v>26000</v>
      </c>
      <c r="V34" s="265">
        <v>15213000</v>
      </c>
      <c r="W34" s="265">
        <v>26000</v>
      </c>
      <c r="X34" s="265">
        <v>15748000</v>
      </c>
      <c r="AA34" s="272">
        <v>2019</v>
      </c>
      <c r="AB34" s="272">
        <v>1370</v>
      </c>
      <c r="AC34" s="273" t="s">
        <v>255</v>
      </c>
      <c r="AD34" s="272" t="s">
        <v>292</v>
      </c>
      <c r="AE34" s="272">
        <v>2</v>
      </c>
      <c r="AF34" s="274" t="s">
        <v>294</v>
      </c>
      <c r="AG34" s="275">
        <v>2</v>
      </c>
      <c r="AH34" s="275">
        <v>2</v>
      </c>
      <c r="AI34" s="275">
        <v>4800</v>
      </c>
      <c r="AJ34" s="276">
        <v>2400</v>
      </c>
    </row>
    <row r="35" spans="1:36" ht="16" customHeight="1">
      <c r="A35">
        <v>2019</v>
      </c>
      <c r="B35">
        <v>3410</v>
      </c>
      <c r="C35" t="s">
        <v>253</v>
      </c>
      <c r="D35" t="s">
        <v>245</v>
      </c>
      <c r="E35" s="203">
        <v>92</v>
      </c>
      <c r="F35" s="203" t="s">
        <v>246</v>
      </c>
      <c r="G35" s="203" t="s">
        <v>247</v>
      </c>
      <c r="H35" s="204" t="s">
        <v>249</v>
      </c>
      <c r="I35" s="202">
        <v>0</v>
      </c>
      <c r="J35" s="202">
        <v>0</v>
      </c>
      <c r="K35" s="202">
        <v>0</v>
      </c>
      <c r="M35" s="254">
        <v>2019</v>
      </c>
      <c r="N35" s="254">
        <v>3680</v>
      </c>
      <c r="O35" s="255" t="s">
        <v>252</v>
      </c>
      <c r="P35" s="254">
        <v>410</v>
      </c>
      <c r="Q35" s="254">
        <v>28</v>
      </c>
      <c r="R35" s="256" t="s">
        <v>263</v>
      </c>
      <c r="S35" s="256" t="s">
        <v>264</v>
      </c>
      <c r="T35" s="265">
        <v>0</v>
      </c>
      <c r="U35" s="265">
        <v>14000</v>
      </c>
      <c r="V35" s="265">
        <v>1618000</v>
      </c>
      <c r="W35" s="265">
        <v>0</v>
      </c>
      <c r="X35" s="265">
        <v>1632000</v>
      </c>
      <c r="AA35" s="272">
        <v>2019</v>
      </c>
      <c r="AB35" s="272">
        <v>1370</v>
      </c>
      <c r="AC35" s="273" t="s">
        <v>255</v>
      </c>
      <c r="AD35" s="272" t="s">
        <v>292</v>
      </c>
      <c r="AE35" s="272">
        <v>3</v>
      </c>
      <c r="AF35" s="274" t="s">
        <v>295</v>
      </c>
      <c r="AG35" s="275">
        <v>163</v>
      </c>
      <c r="AH35" s="275">
        <v>155</v>
      </c>
      <c r="AI35" s="275">
        <v>303300</v>
      </c>
      <c r="AJ35" s="276">
        <v>1956.7741935483871</v>
      </c>
    </row>
    <row r="36" spans="1:36" ht="16" customHeight="1">
      <c r="A36">
        <v>2019</v>
      </c>
      <c r="B36">
        <v>3410</v>
      </c>
      <c r="C36" t="s">
        <v>253</v>
      </c>
      <c r="D36" t="s">
        <v>245</v>
      </c>
      <c r="E36" s="203">
        <v>93</v>
      </c>
      <c r="F36" s="203" t="s">
        <v>250</v>
      </c>
      <c r="G36" s="203" t="s">
        <v>247</v>
      </c>
      <c r="H36" s="203" t="s">
        <v>248</v>
      </c>
      <c r="I36" s="202">
        <v>0</v>
      </c>
      <c r="J36" s="202">
        <v>0</v>
      </c>
      <c r="K36" s="202">
        <v>0</v>
      </c>
      <c r="M36" s="254">
        <v>2019</v>
      </c>
      <c r="N36" s="254">
        <v>3680</v>
      </c>
      <c r="O36" s="255" t="s">
        <v>252</v>
      </c>
      <c r="P36" s="254">
        <v>410</v>
      </c>
      <c r="Q36" s="254">
        <v>101</v>
      </c>
      <c r="R36" s="256" t="s">
        <v>263</v>
      </c>
      <c r="S36" s="256" t="s">
        <v>265</v>
      </c>
      <c r="T36" s="265">
        <v>2000</v>
      </c>
      <c r="U36" s="265">
        <v>0</v>
      </c>
      <c r="V36" s="265">
        <v>188000</v>
      </c>
      <c r="W36" s="265">
        <v>0</v>
      </c>
      <c r="X36" s="265">
        <v>190000</v>
      </c>
      <c r="AA36" s="272">
        <v>2019</v>
      </c>
      <c r="AB36" s="272">
        <v>1370</v>
      </c>
      <c r="AC36" s="273" t="s">
        <v>255</v>
      </c>
      <c r="AD36" s="272" t="s">
        <v>292</v>
      </c>
      <c r="AE36" s="272">
        <v>4</v>
      </c>
      <c r="AF36" s="274" t="s">
        <v>296</v>
      </c>
      <c r="AG36" s="275">
        <v>10</v>
      </c>
      <c r="AH36" s="275">
        <v>3</v>
      </c>
      <c r="AI36" s="275">
        <v>3600</v>
      </c>
      <c r="AJ36" s="276">
        <v>1200</v>
      </c>
    </row>
    <row r="37" spans="1:36" ht="16" customHeight="1">
      <c r="A37">
        <v>2019</v>
      </c>
      <c r="B37">
        <v>3410</v>
      </c>
      <c r="C37" t="s">
        <v>253</v>
      </c>
      <c r="D37" t="s">
        <v>245</v>
      </c>
      <c r="E37" s="203">
        <v>94</v>
      </c>
      <c r="F37" s="203" t="s">
        <v>250</v>
      </c>
      <c r="G37" s="203" t="s">
        <v>247</v>
      </c>
      <c r="H37" s="204" t="s">
        <v>249</v>
      </c>
      <c r="I37" s="202">
        <v>0</v>
      </c>
      <c r="J37" s="202">
        <v>0</v>
      </c>
      <c r="K37" s="202">
        <v>0</v>
      </c>
      <c r="M37" s="254">
        <v>2019</v>
      </c>
      <c r="N37" s="254">
        <v>3410</v>
      </c>
      <c r="O37" s="255" t="s">
        <v>253</v>
      </c>
      <c r="P37" s="254">
        <v>410</v>
      </c>
      <c r="Q37" s="254">
        <v>28</v>
      </c>
      <c r="R37" s="256" t="s">
        <v>263</v>
      </c>
      <c r="S37" s="256" t="s">
        <v>264</v>
      </c>
      <c r="T37" s="265">
        <v>0</v>
      </c>
      <c r="U37" s="265">
        <v>0</v>
      </c>
      <c r="V37" s="265">
        <v>0</v>
      </c>
      <c r="W37" s="265">
        <v>0</v>
      </c>
      <c r="X37" s="265">
        <v>0</v>
      </c>
      <c r="AA37" s="272">
        <v>2019</v>
      </c>
      <c r="AB37" s="272">
        <v>1370</v>
      </c>
      <c r="AC37" s="273" t="s">
        <v>255</v>
      </c>
      <c r="AD37" s="272" t="s">
        <v>292</v>
      </c>
      <c r="AE37" s="272">
        <v>5</v>
      </c>
      <c r="AF37" s="274" t="s">
        <v>297</v>
      </c>
      <c r="AG37" s="275">
        <v>788</v>
      </c>
      <c r="AH37" s="275">
        <v>902</v>
      </c>
      <c r="AI37" s="275">
        <v>3352300</v>
      </c>
      <c r="AJ37" s="276">
        <v>3716.5188470066519</v>
      </c>
    </row>
    <row r="38" spans="1:36" ht="16" customHeight="1">
      <c r="A38">
        <v>2019</v>
      </c>
      <c r="B38">
        <v>3410</v>
      </c>
      <c r="C38" t="s">
        <v>253</v>
      </c>
      <c r="D38" t="s">
        <v>245</v>
      </c>
      <c r="E38" s="203">
        <v>97</v>
      </c>
      <c r="F38" s="203" t="s">
        <v>251</v>
      </c>
      <c r="G38" s="203" t="s">
        <v>247</v>
      </c>
      <c r="H38" s="203" t="s">
        <v>248</v>
      </c>
      <c r="I38" s="202">
        <v>0</v>
      </c>
      <c r="J38" s="202">
        <v>0</v>
      </c>
      <c r="K38" s="202">
        <v>0</v>
      </c>
      <c r="M38" s="254">
        <v>2019</v>
      </c>
      <c r="N38" s="254">
        <v>3410</v>
      </c>
      <c r="O38" s="255" t="s">
        <v>253</v>
      </c>
      <c r="P38" s="254">
        <v>410</v>
      </c>
      <c r="Q38" s="254">
        <v>101</v>
      </c>
      <c r="R38" s="256" t="s">
        <v>263</v>
      </c>
      <c r="S38" s="256" t="s">
        <v>265</v>
      </c>
      <c r="T38" s="265">
        <v>0</v>
      </c>
      <c r="U38" s="265">
        <v>0</v>
      </c>
      <c r="V38" s="265">
        <v>0</v>
      </c>
      <c r="W38" s="265">
        <v>0</v>
      </c>
      <c r="X38" s="265">
        <v>0</v>
      </c>
      <c r="AA38" s="272">
        <v>2019</v>
      </c>
      <c r="AB38" s="272">
        <v>1370</v>
      </c>
      <c r="AC38" s="273" t="s">
        <v>255</v>
      </c>
      <c r="AD38" s="272" t="s">
        <v>292</v>
      </c>
      <c r="AE38" s="272">
        <v>9</v>
      </c>
      <c r="AF38" s="274" t="s">
        <v>298</v>
      </c>
      <c r="AG38" s="275">
        <v>0</v>
      </c>
      <c r="AH38" s="275">
        <v>0</v>
      </c>
      <c r="AI38" s="275">
        <v>0</v>
      </c>
      <c r="AJ38" s="276">
        <v>0</v>
      </c>
    </row>
    <row r="39" spans="1:36" ht="16" customHeight="1">
      <c r="A39">
        <v>2019</v>
      </c>
      <c r="B39">
        <v>3410</v>
      </c>
      <c r="C39" t="s">
        <v>253</v>
      </c>
      <c r="D39" t="s">
        <v>245</v>
      </c>
      <c r="E39" s="203">
        <v>98</v>
      </c>
      <c r="F39" s="203" t="s">
        <v>251</v>
      </c>
      <c r="G39" s="203" t="s">
        <v>247</v>
      </c>
      <c r="H39" s="204" t="s">
        <v>249</v>
      </c>
      <c r="I39" s="202">
        <v>0</v>
      </c>
      <c r="J39" s="202">
        <v>0</v>
      </c>
      <c r="K39" s="202">
        <v>0</v>
      </c>
      <c r="M39" s="254">
        <v>2019</v>
      </c>
      <c r="N39" s="254">
        <v>3050</v>
      </c>
      <c r="O39" s="255" t="s">
        <v>254</v>
      </c>
      <c r="P39" s="254">
        <v>410</v>
      </c>
      <c r="Q39" s="254">
        <v>28</v>
      </c>
      <c r="R39" s="256" t="s">
        <v>263</v>
      </c>
      <c r="S39" s="256" t="s">
        <v>264</v>
      </c>
      <c r="T39" s="265">
        <v>3788000</v>
      </c>
      <c r="U39" s="265">
        <v>3285000</v>
      </c>
      <c r="V39" s="265">
        <v>15351000</v>
      </c>
      <c r="W39" s="265">
        <v>0</v>
      </c>
      <c r="X39" s="265">
        <v>22424000</v>
      </c>
      <c r="AA39" s="272">
        <v>2019</v>
      </c>
      <c r="AB39" s="272">
        <v>1370</v>
      </c>
      <c r="AC39" s="273" t="s">
        <v>255</v>
      </c>
      <c r="AD39" s="272" t="s">
        <v>292</v>
      </c>
      <c r="AE39" s="272">
        <v>10</v>
      </c>
      <c r="AF39" s="274" t="s">
        <v>299</v>
      </c>
      <c r="AG39" s="275">
        <v>788</v>
      </c>
      <c r="AH39" s="275">
        <v>902</v>
      </c>
      <c r="AI39" s="275">
        <v>0</v>
      </c>
      <c r="AJ39" s="276">
        <v>0</v>
      </c>
    </row>
    <row r="40" spans="1:36" ht="16" customHeight="1">
      <c r="A40">
        <v>2019</v>
      </c>
      <c r="B40">
        <v>3050</v>
      </c>
      <c r="C40" t="s">
        <v>254</v>
      </c>
      <c r="D40" t="s">
        <v>245</v>
      </c>
      <c r="E40" s="203">
        <v>91</v>
      </c>
      <c r="F40" s="203" t="s">
        <v>246</v>
      </c>
      <c r="G40" s="203" t="s">
        <v>247</v>
      </c>
      <c r="H40" s="203" t="s">
        <v>248</v>
      </c>
      <c r="I40" s="202">
        <v>4</v>
      </c>
      <c r="J40" s="202">
        <v>855</v>
      </c>
      <c r="K40" s="202">
        <v>3812000</v>
      </c>
      <c r="M40" s="254">
        <v>2019</v>
      </c>
      <c r="N40" s="254">
        <v>3050</v>
      </c>
      <c r="O40" s="255" t="s">
        <v>254</v>
      </c>
      <c r="P40" s="254">
        <v>410</v>
      </c>
      <c r="Q40" s="254">
        <v>101</v>
      </c>
      <c r="R40" s="256" t="s">
        <v>263</v>
      </c>
      <c r="S40" s="256" t="s">
        <v>265</v>
      </c>
      <c r="T40" s="265">
        <v>1371000</v>
      </c>
      <c r="U40" s="265">
        <v>956000</v>
      </c>
      <c r="V40" s="265">
        <v>13835000</v>
      </c>
      <c r="W40" s="265">
        <v>0</v>
      </c>
      <c r="X40" s="265">
        <v>16162000</v>
      </c>
      <c r="AA40" s="272">
        <v>2019</v>
      </c>
      <c r="AB40" s="272">
        <v>1550</v>
      </c>
      <c r="AC40" s="273" t="s">
        <v>258</v>
      </c>
      <c r="AD40" s="272" t="s">
        <v>292</v>
      </c>
      <c r="AE40" s="272">
        <v>1</v>
      </c>
      <c r="AF40" s="274" t="s">
        <v>293</v>
      </c>
      <c r="AG40" s="275">
        <v>2812</v>
      </c>
      <c r="AH40" s="275">
        <v>2625</v>
      </c>
      <c r="AI40" s="275">
        <v>11317800</v>
      </c>
      <c r="AJ40" s="276">
        <v>4311.5428571428574</v>
      </c>
    </row>
    <row r="41" spans="1:36" ht="16" customHeight="1">
      <c r="A41">
        <v>2019</v>
      </c>
      <c r="B41">
        <v>3050</v>
      </c>
      <c r="C41" t="s">
        <v>254</v>
      </c>
      <c r="D41" t="s">
        <v>245</v>
      </c>
      <c r="E41" s="203">
        <v>92</v>
      </c>
      <c r="F41" s="203" t="s">
        <v>246</v>
      </c>
      <c r="G41" s="203" t="s">
        <v>247</v>
      </c>
      <c r="H41" s="204" t="s">
        <v>249</v>
      </c>
      <c r="I41" s="202">
        <v>0</v>
      </c>
      <c r="J41" s="202">
        <v>0</v>
      </c>
      <c r="K41" s="202">
        <v>0</v>
      </c>
      <c r="M41" s="254">
        <v>2019</v>
      </c>
      <c r="N41" s="254">
        <v>2670</v>
      </c>
      <c r="O41" s="255" t="s">
        <v>257</v>
      </c>
      <c r="P41" s="254">
        <v>410</v>
      </c>
      <c r="Q41" s="254">
        <v>28</v>
      </c>
      <c r="R41" s="256" t="s">
        <v>263</v>
      </c>
      <c r="S41" s="256" t="s">
        <v>264</v>
      </c>
      <c r="T41" s="265">
        <v>2677000</v>
      </c>
      <c r="U41" s="265">
        <v>2112000</v>
      </c>
      <c r="V41" s="265">
        <v>416000</v>
      </c>
      <c r="W41" s="265">
        <v>613000</v>
      </c>
      <c r="X41" s="265">
        <v>5818000</v>
      </c>
      <c r="AA41" s="272">
        <v>2019</v>
      </c>
      <c r="AB41" s="272">
        <v>1550</v>
      </c>
      <c r="AC41" s="273" t="s">
        <v>258</v>
      </c>
      <c r="AD41" s="272" t="s">
        <v>292</v>
      </c>
      <c r="AE41" s="272">
        <v>2</v>
      </c>
      <c r="AF41" s="274" t="s">
        <v>294</v>
      </c>
      <c r="AG41" s="275">
        <v>0</v>
      </c>
      <c r="AH41" s="275">
        <v>0</v>
      </c>
      <c r="AI41" s="275">
        <v>0</v>
      </c>
      <c r="AJ41" s="276">
        <v>0</v>
      </c>
    </row>
    <row r="42" spans="1:36" ht="16" customHeight="1">
      <c r="A42">
        <v>2019</v>
      </c>
      <c r="B42">
        <v>3050</v>
      </c>
      <c r="C42" t="s">
        <v>254</v>
      </c>
      <c r="D42" t="s">
        <v>245</v>
      </c>
      <c r="E42" s="203">
        <v>93</v>
      </c>
      <c r="F42" s="203" t="s">
        <v>250</v>
      </c>
      <c r="G42" s="203" t="s">
        <v>247</v>
      </c>
      <c r="H42" s="203" t="s">
        <v>248</v>
      </c>
      <c r="I42" s="202">
        <v>1826</v>
      </c>
      <c r="J42" s="202">
        <v>65769</v>
      </c>
      <c r="K42" s="202">
        <v>188747000</v>
      </c>
      <c r="M42" s="254">
        <v>2019</v>
      </c>
      <c r="N42" s="254">
        <v>2670</v>
      </c>
      <c r="O42" s="255" t="s">
        <v>257</v>
      </c>
      <c r="P42" s="254">
        <v>410</v>
      </c>
      <c r="Q42" s="254">
        <v>101</v>
      </c>
      <c r="R42" s="256" t="s">
        <v>263</v>
      </c>
      <c r="S42" s="256" t="s">
        <v>265</v>
      </c>
      <c r="T42" s="265">
        <v>2367000</v>
      </c>
      <c r="U42" s="265">
        <v>6000</v>
      </c>
      <c r="V42" s="265">
        <v>0</v>
      </c>
      <c r="W42" s="265">
        <v>0</v>
      </c>
      <c r="X42" s="265">
        <v>2373000</v>
      </c>
      <c r="AA42" s="272">
        <v>2019</v>
      </c>
      <c r="AB42" s="272">
        <v>1550</v>
      </c>
      <c r="AC42" s="273" t="s">
        <v>258</v>
      </c>
      <c r="AD42" s="272" t="s">
        <v>292</v>
      </c>
      <c r="AE42" s="272">
        <v>3</v>
      </c>
      <c r="AF42" s="274" t="s">
        <v>295</v>
      </c>
      <c r="AG42" s="275">
        <v>1040</v>
      </c>
      <c r="AH42" s="275">
        <v>1047</v>
      </c>
      <c r="AI42" s="275">
        <v>2828500</v>
      </c>
      <c r="AJ42" s="276">
        <v>2701.5281757402099</v>
      </c>
    </row>
    <row r="43" spans="1:36" ht="16" customHeight="1">
      <c r="A43">
        <v>2019</v>
      </c>
      <c r="B43">
        <v>3050</v>
      </c>
      <c r="C43" t="s">
        <v>254</v>
      </c>
      <c r="D43" t="s">
        <v>245</v>
      </c>
      <c r="E43" s="203">
        <v>94</v>
      </c>
      <c r="F43" s="203" t="s">
        <v>250</v>
      </c>
      <c r="G43" s="203" t="s">
        <v>247</v>
      </c>
      <c r="H43" s="204" t="s">
        <v>249</v>
      </c>
      <c r="I43" s="202">
        <v>0</v>
      </c>
      <c r="J43" s="202">
        <v>0</v>
      </c>
      <c r="K43" s="202">
        <v>0</v>
      </c>
      <c r="M43" s="254">
        <v>2019</v>
      </c>
      <c r="N43" s="254">
        <v>1550</v>
      </c>
      <c r="O43" s="255" t="s">
        <v>258</v>
      </c>
      <c r="P43" s="254">
        <v>410</v>
      </c>
      <c r="Q43" s="254">
        <v>28</v>
      </c>
      <c r="R43" s="256" t="s">
        <v>263</v>
      </c>
      <c r="S43" s="256" t="s">
        <v>264</v>
      </c>
      <c r="T43" s="265">
        <v>2839000</v>
      </c>
      <c r="U43" s="265">
        <v>1382000</v>
      </c>
      <c r="V43" s="265">
        <v>1671000</v>
      </c>
      <c r="W43" s="265">
        <v>19522000</v>
      </c>
      <c r="X43" s="265">
        <v>25414000</v>
      </c>
      <c r="AA43" s="272">
        <v>2019</v>
      </c>
      <c r="AB43" s="272">
        <v>1550</v>
      </c>
      <c r="AC43" s="273" t="s">
        <v>258</v>
      </c>
      <c r="AD43" s="272" t="s">
        <v>292</v>
      </c>
      <c r="AE43" s="272">
        <v>4</v>
      </c>
      <c r="AF43" s="274" t="s">
        <v>296</v>
      </c>
      <c r="AG43" s="275">
        <v>42</v>
      </c>
      <c r="AH43" s="275">
        <v>17</v>
      </c>
      <c r="AI43" s="275">
        <v>23800</v>
      </c>
      <c r="AJ43" s="276">
        <v>1400</v>
      </c>
    </row>
    <row r="44" spans="1:36" ht="16" customHeight="1">
      <c r="A44">
        <v>2019</v>
      </c>
      <c r="B44">
        <v>3050</v>
      </c>
      <c r="C44" t="s">
        <v>254</v>
      </c>
      <c r="D44" t="s">
        <v>245</v>
      </c>
      <c r="E44" s="203">
        <v>97</v>
      </c>
      <c r="F44" s="203" t="s">
        <v>251</v>
      </c>
      <c r="G44" s="203" t="s">
        <v>247</v>
      </c>
      <c r="H44" s="203" t="s">
        <v>248</v>
      </c>
      <c r="I44" s="202">
        <v>0</v>
      </c>
      <c r="J44" s="202">
        <v>0</v>
      </c>
      <c r="K44" s="202">
        <v>0</v>
      </c>
      <c r="M44" s="254">
        <v>2019</v>
      </c>
      <c r="N44" s="254">
        <v>1550</v>
      </c>
      <c r="O44" s="255" t="s">
        <v>258</v>
      </c>
      <c r="P44" s="254">
        <v>410</v>
      </c>
      <c r="Q44" s="254">
        <v>101</v>
      </c>
      <c r="R44" s="256" t="s">
        <v>263</v>
      </c>
      <c r="S44" s="256" t="s">
        <v>265</v>
      </c>
      <c r="T44" s="265">
        <v>9000</v>
      </c>
      <c r="U44" s="265">
        <v>0</v>
      </c>
      <c r="V44" s="265">
        <v>0</v>
      </c>
      <c r="W44" s="265">
        <v>0</v>
      </c>
      <c r="X44" s="265">
        <v>3490000</v>
      </c>
      <c r="AA44" s="272">
        <v>2019</v>
      </c>
      <c r="AB44" s="272">
        <v>1550</v>
      </c>
      <c r="AC44" s="273" t="s">
        <v>258</v>
      </c>
      <c r="AD44" s="272" t="s">
        <v>292</v>
      </c>
      <c r="AE44" s="272">
        <v>5</v>
      </c>
      <c r="AF44" s="274" t="s">
        <v>297</v>
      </c>
      <c r="AG44" s="275">
        <v>3894</v>
      </c>
      <c r="AH44" s="275">
        <v>3689</v>
      </c>
      <c r="AI44" s="275">
        <v>14170100</v>
      </c>
      <c r="AJ44" s="276">
        <v>3841.1764705882351</v>
      </c>
    </row>
    <row r="45" spans="1:36" ht="16" customHeight="1">
      <c r="A45">
        <v>2019</v>
      </c>
      <c r="B45">
        <v>3050</v>
      </c>
      <c r="C45" t="s">
        <v>254</v>
      </c>
      <c r="D45" t="s">
        <v>245</v>
      </c>
      <c r="E45" s="203">
        <v>98</v>
      </c>
      <c r="F45" s="203" t="s">
        <v>251</v>
      </c>
      <c r="G45" s="203" t="s">
        <v>247</v>
      </c>
      <c r="H45" s="204" t="s">
        <v>249</v>
      </c>
      <c r="I45" s="202">
        <v>0</v>
      </c>
      <c r="J45" s="202">
        <v>0</v>
      </c>
      <c r="K45" s="202">
        <v>0</v>
      </c>
      <c r="M45" s="254">
        <v>2019</v>
      </c>
      <c r="N45" s="254">
        <v>1370</v>
      </c>
      <c r="O45" s="255" t="s">
        <v>255</v>
      </c>
      <c r="P45" s="254">
        <v>410</v>
      </c>
      <c r="Q45" s="254">
        <v>28</v>
      </c>
      <c r="R45" s="256" t="s">
        <v>263</v>
      </c>
      <c r="S45" s="256" t="s">
        <v>264</v>
      </c>
      <c r="T45" s="265">
        <v>23000</v>
      </c>
      <c r="U45" s="265">
        <v>0</v>
      </c>
      <c r="V45" s="265">
        <v>3000</v>
      </c>
      <c r="W45" s="265">
        <v>0</v>
      </c>
      <c r="X45" s="265">
        <v>26000</v>
      </c>
      <c r="AA45" s="272">
        <v>2019</v>
      </c>
      <c r="AB45" s="272">
        <v>1550</v>
      </c>
      <c r="AC45" s="273" t="s">
        <v>258</v>
      </c>
      <c r="AD45" s="272" t="s">
        <v>292</v>
      </c>
      <c r="AE45" s="272">
        <v>9</v>
      </c>
      <c r="AF45" s="274" t="s">
        <v>298</v>
      </c>
      <c r="AG45" s="275">
        <v>178</v>
      </c>
      <c r="AH45" s="275">
        <v>178</v>
      </c>
      <c r="AI45" s="275">
        <v>0</v>
      </c>
      <c r="AJ45" s="276">
        <v>0</v>
      </c>
    </row>
    <row r="46" spans="1:36" ht="16" customHeight="1">
      <c r="A46">
        <v>2019</v>
      </c>
      <c r="B46">
        <v>1370</v>
      </c>
      <c r="C46" t="s">
        <v>255</v>
      </c>
      <c r="D46" t="s">
        <v>245</v>
      </c>
      <c r="E46" s="203">
        <v>91</v>
      </c>
      <c r="F46" s="203" t="s">
        <v>246</v>
      </c>
      <c r="G46" s="203" t="s">
        <v>247</v>
      </c>
      <c r="H46" s="203" t="s">
        <v>248</v>
      </c>
      <c r="I46" s="202">
        <v>154</v>
      </c>
      <c r="J46" s="202">
        <v>32340</v>
      </c>
      <c r="K46" s="202">
        <v>426656000</v>
      </c>
      <c r="M46" s="254">
        <v>2019</v>
      </c>
      <c r="N46" s="254">
        <v>1370</v>
      </c>
      <c r="O46" s="255" t="s">
        <v>255</v>
      </c>
      <c r="P46" s="254">
        <v>410</v>
      </c>
      <c r="Q46" s="254">
        <v>101</v>
      </c>
      <c r="R46" s="256" t="s">
        <v>263</v>
      </c>
      <c r="S46" s="256" t="s">
        <v>265</v>
      </c>
      <c r="T46" s="265">
        <v>8000</v>
      </c>
      <c r="U46" s="265">
        <v>0</v>
      </c>
      <c r="V46" s="265">
        <v>0</v>
      </c>
      <c r="W46" s="265">
        <v>0</v>
      </c>
      <c r="X46" s="265">
        <v>8000</v>
      </c>
      <c r="AA46" s="272">
        <v>2019</v>
      </c>
      <c r="AB46" s="272">
        <v>1550</v>
      </c>
      <c r="AC46" s="273" t="s">
        <v>258</v>
      </c>
      <c r="AD46" s="272" t="s">
        <v>292</v>
      </c>
      <c r="AE46" s="272">
        <v>10</v>
      </c>
      <c r="AF46" s="274" t="s">
        <v>299</v>
      </c>
      <c r="AG46" s="275">
        <v>4073</v>
      </c>
      <c r="AH46" s="275">
        <v>3867</v>
      </c>
      <c r="AI46" s="275">
        <v>0</v>
      </c>
      <c r="AJ46" s="276">
        <v>0</v>
      </c>
    </row>
    <row r="47" spans="1:36" ht="16" customHeight="1">
      <c r="A47">
        <v>2019</v>
      </c>
      <c r="B47">
        <v>1370</v>
      </c>
      <c r="C47" t="s">
        <v>255</v>
      </c>
      <c r="D47" t="s">
        <v>245</v>
      </c>
      <c r="E47" s="203">
        <v>92</v>
      </c>
      <c r="F47" s="203" t="s">
        <v>246</v>
      </c>
      <c r="G47" s="203" t="s">
        <v>247</v>
      </c>
      <c r="H47" s="204" t="s">
        <v>249</v>
      </c>
      <c r="I47" s="202">
        <v>0</v>
      </c>
      <c r="J47" s="202">
        <v>0</v>
      </c>
      <c r="K47" s="202">
        <v>0</v>
      </c>
      <c r="M47" s="254">
        <v>2019</v>
      </c>
      <c r="N47" s="254">
        <v>3740</v>
      </c>
      <c r="O47" s="255" t="s">
        <v>244</v>
      </c>
      <c r="P47" s="254">
        <v>410</v>
      </c>
      <c r="Q47" s="254">
        <v>201</v>
      </c>
      <c r="R47" s="255" t="s">
        <v>37</v>
      </c>
      <c r="S47" s="255" t="s">
        <v>203</v>
      </c>
      <c r="T47" s="265">
        <v>13340000</v>
      </c>
      <c r="U47" s="265">
        <v>5022000</v>
      </c>
      <c r="V47" s="265">
        <v>3650000</v>
      </c>
      <c r="W47" s="265">
        <v>182000</v>
      </c>
      <c r="X47" s="265">
        <v>22194000</v>
      </c>
      <c r="AA47" s="272">
        <v>2019</v>
      </c>
      <c r="AB47" s="272">
        <v>2670</v>
      </c>
      <c r="AC47" s="273" t="s">
        <v>257</v>
      </c>
      <c r="AD47" s="272" t="s">
        <v>292</v>
      </c>
      <c r="AE47" s="272">
        <v>1</v>
      </c>
      <c r="AF47" s="274" t="s">
        <v>293</v>
      </c>
      <c r="AG47" s="275">
        <v>3440</v>
      </c>
      <c r="AH47" s="275">
        <v>3162</v>
      </c>
      <c r="AI47" s="275">
        <v>11870400</v>
      </c>
      <c r="AJ47" s="276">
        <v>3754.0796963946868</v>
      </c>
    </row>
    <row r="48" spans="1:36" ht="16" customHeight="1">
      <c r="A48">
        <v>2019</v>
      </c>
      <c r="B48">
        <v>1370</v>
      </c>
      <c r="C48" t="s">
        <v>255</v>
      </c>
      <c r="D48" t="s">
        <v>245</v>
      </c>
      <c r="E48" s="203">
        <v>93</v>
      </c>
      <c r="F48" s="203" t="s">
        <v>250</v>
      </c>
      <c r="G48" s="203" t="s">
        <v>247</v>
      </c>
      <c r="H48" s="203" t="s">
        <v>248</v>
      </c>
      <c r="I48" s="202">
        <v>0</v>
      </c>
      <c r="J48" s="202">
        <v>0</v>
      </c>
      <c r="K48" s="202">
        <v>0</v>
      </c>
      <c r="M48" s="254">
        <v>2019</v>
      </c>
      <c r="N48" s="254">
        <v>3740</v>
      </c>
      <c r="O48" s="255" t="s">
        <v>244</v>
      </c>
      <c r="P48" s="254">
        <v>410</v>
      </c>
      <c r="Q48" s="254">
        <v>202</v>
      </c>
      <c r="R48" s="255" t="s">
        <v>37</v>
      </c>
      <c r="S48" s="255" t="s">
        <v>197</v>
      </c>
      <c r="T48" s="265">
        <v>149125000</v>
      </c>
      <c r="U48" s="265">
        <v>293164000</v>
      </c>
      <c r="V48" s="265">
        <v>111904000</v>
      </c>
      <c r="W48" s="265">
        <v>823000</v>
      </c>
      <c r="X48" s="265">
        <v>555016000</v>
      </c>
      <c r="AA48" s="272">
        <v>2019</v>
      </c>
      <c r="AB48" s="272">
        <v>2670</v>
      </c>
      <c r="AC48" s="273" t="s">
        <v>257</v>
      </c>
      <c r="AD48" s="272" t="s">
        <v>292</v>
      </c>
      <c r="AE48" s="272">
        <v>2</v>
      </c>
      <c r="AF48" s="274" t="s">
        <v>294</v>
      </c>
      <c r="AG48" s="275">
        <v>5</v>
      </c>
      <c r="AH48" s="275">
        <v>5</v>
      </c>
      <c r="AI48" s="275">
        <v>15000</v>
      </c>
      <c r="AJ48" s="276">
        <v>3000</v>
      </c>
    </row>
    <row r="49" spans="1:36" ht="16" customHeight="1">
      <c r="A49">
        <v>2019</v>
      </c>
      <c r="B49">
        <v>1370</v>
      </c>
      <c r="C49" t="s">
        <v>255</v>
      </c>
      <c r="D49" t="s">
        <v>245</v>
      </c>
      <c r="E49" s="203">
        <v>94</v>
      </c>
      <c r="F49" s="203" t="s">
        <v>250</v>
      </c>
      <c r="G49" s="203" t="s">
        <v>247</v>
      </c>
      <c r="H49" s="204" t="s">
        <v>249</v>
      </c>
      <c r="I49" s="202">
        <v>0</v>
      </c>
      <c r="J49" s="202">
        <v>0</v>
      </c>
      <c r="K49" s="202">
        <v>0</v>
      </c>
      <c r="M49" s="254">
        <v>2019</v>
      </c>
      <c r="N49" s="254">
        <v>3740</v>
      </c>
      <c r="O49" s="255" t="s">
        <v>244</v>
      </c>
      <c r="P49" s="254">
        <v>410</v>
      </c>
      <c r="Q49" s="254">
        <v>203</v>
      </c>
      <c r="R49" s="255" t="s">
        <v>37</v>
      </c>
      <c r="S49" s="255" t="s">
        <v>198</v>
      </c>
      <c r="T49" s="265">
        <v>0</v>
      </c>
      <c r="U49" s="265">
        <v>516000</v>
      </c>
      <c r="V49" s="265">
        <v>4237000</v>
      </c>
      <c r="W49" s="265">
        <v>0</v>
      </c>
      <c r="X49" s="265">
        <v>4753000</v>
      </c>
      <c r="AA49" s="272">
        <v>2019</v>
      </c>
      <c r="AB49" s="272">
        <v>2670</v>
      </c>
      <c r="AC49" s="273" t="s">
        <v>257</v>
      </c>
      <c r="AD49" s="272" t="s">
        <v>292</v>
      </c>
      <c r="AE49" s="272">
        <v>3</v>
      </c>
      <c r="AF49" s="274" t="s">
        <v>295</v>
      </c>
      <c r="AG49" s="275">
        <v>0</v>
      </c>
      <c r="AH49" s="275">
        <v>0</v>
      </c>
      <c r="AI49" s="275">
        <v>0</v>
      </c>
      <c r="AJ49" s="276">
        <v>0</v>
      </c>
    </row>
    <row r="50" spans="1:36" ht="16" customHeight="1">
      <c r="A50">
        <v>2019</v>
      </c>
      <c r="B50">
        <v>1370</v>
      </c>
      <c r="C50" t="s">
        <v>255</v>
      </c>
      <c r="D50" t="s">
        <v>245</v>
      </c>
      <c r="E50" s="203">
        <v>93</v>
      </c>
      <c r="F50" s="203" t="s">
        <v>256</v>
      </c>
      <c r="G50" s="203" t="s">
        <v>247</v>
      </c>
      <c r="H50" s="203" t="s">
        <v>248</v>
      </c>
      <c r="I50" s="202">
        <v>0</v>
      </c>
      <c r="J50" s="202">
        <v>0</v>
      </c>
      <c r="K50" s="202">
        <v>0</v>
      </c>
      <c r="M50" s="254">
        <v>2019</v>
      </c>
      <c r="N50" s="254">
        <v>3740</v>
      </c>
      <c r="O50" s="255" t="s">
        <v>244</v>
      </c>
      <c r="P50" s="254">
        <v>410</v>
      </c>
      <c r="Q50" s="254">
        <v>204</v>
      </c>
      <c r="R50" s="255" t="s">
        <v>37</v>
      </c>
      <c r="S50" s="255" t="s">
        <v>199</v>
      </c>
      <c r="T50" s="265">
        <v>0</v>
      </c>
      <c r="U50" s="265">
        <v>99000</v>
      </c>
      <c r="V50" s="265">
        <v>0</v>
      </c>
      <c r="W50" s="265">
        <v>0</v>
      </c>
      <c r="X50" s="265">
        <v>99000</v>
      </c>
      <c r="AA50" s="272">
        <v>2019</v>
      </c>
      <c r="AB50" s="272">
        <v>2670</v>
      </c>
      <c r="AC50" s="273" t="s">
        <v>257</v>
      </c>
      <c r="AD50" s="272" t="s">
        <v>292</v>
      </c>
      <c r="AE50" s="272">
        <v>4</v>
      </c>
      <c r="AF50" s="274" t="s">
        <v>296</v>
      </c>
      <c r="AG50" s="275">
        <v>249</v>
      </c>
      <c r="AH50" s="275">
        <v>215</v>
      </c>
      <c r="AI50" s="275">
        <v>480100</v>
      </c>
      <c r="AJ50" s="276">
        <v>2233.0232558139537</v>
      </c>
    </row>
    <row r="51" spans="1:36" ht="16" customHeight="1">
      <c r="A51">
        <v>2019</v>
      </c>
      <c r="B51">
        <v>1370</v>
      </c>
      <c r="C51" t="s">
        <v>255</v>
      </c>
      <c r="D51" t="s">
        <v>245</v>
      </c>
      <c r="E51" s="203">
        <v>94</v>
      </c>
      <c r="F51" s="203" t="s">
        <v>256</v>
      </c>
      <c r="G51" s="203" t="s">
        <v>247</v>
      </c>
      <c r="H51" s="204" t="s">
        <v>249</v>
      </c>
      <c r="I51" s="202">
        <v>0</v>
      </c>
      <c r="J51" s="202">
        <v>0</v>
      </c>
      <c r="K51" s="202">
        <v>0</v>
      </c>
      <c r="M51" s="254">
        <v>2019</v>
      </c>
      <c r="N51" s="254">
        <v>3740</v>
      </c>
      <c r="O51" s="255" t="s">
        <v>244</v>
      </c>
      <c r="P51" s="254">
        <v>410</v>
      </c>
      <c r="Q51" s="254">
        <v>205</v>
      </c>
      <c r="R51" s="255" t="s">
        <v>37</v>
      </c>
      <c r="S51" s="255" t="s">
        <v>200</v>
      </c>
      <c r="T51" s="265">
        <v>0</v>
      </c>
      <c r="U51" s="265">
        <v>0</v>
      </c>
      <c r="V51" s="265">
        <v>0</v>
      </c>
      <c r="W51" s="265">
        <v>79757000</v>
      </c>
      <c r="X51" s="265">
        <v>79757000</v>
      </c>
      <c r="AA51" s="272">
        <v>2019</v>
      </c>
      <c r="AB51" s="272">
        <v>2670</v>
      </c>
      <c r="AC51" s="273" t="s">
        <v>257</v>
      </c>
      <c r="AD51" s="272" t="s">
        <v>292</v>
      </c>
      <c r="AE51" s="272">
        <v>5</v>
      </c>
      <c r="AF51" s="274" t="s">
        <v>297</v>
      </c>
      <c r="AG51" s="275">
        <v>3694</v>
      </c>
      <c r="AH51" s="275">
        <v>3382</v>
      </c>
      <c r="AI51" s="275">
        <v>12365500</v>
      </c>
      <c r="AJ51" s="276">
        <v>3656.2684801892369</v>
      </c>
    </row>
    <row r="52" spans="1:36" ht="16" customHeight="1">
      <c r="A52">
        <v>2019</v>
      </c>
      <c r="B52">
        <v>1370</v>
      </c>
      <c r="C52" t="s">
        <v>255</v>
      </c>
      <c r="D52" t="s">
        <v>245</v>
      </c>
      <c r="E52" s="203">
        <v>95</v>
      </c>
      <c r="F52" s="203" t="s">
        <v>251</v>
      </c>
      <c r="G52" s="203" t="s">
        <v>247</v>
      </c>
      <c r="H52" s="203" t="s">
        <v>248</v>
      </c>
      <c r="I52" s="202">
        <v>0</v>
      </c>
      <c r="J52" s="202">
        <v>0</v>
      </c>
      <c r="K52" s="202">
        <v>0</v>
      </c>
      <c r="M52" s="254">
        <v>2019</v>
      </c>
      <c r="N52" s="254">
        <v>3740</v>
      </c>
      <c r="O52" s="255" t="s">
        <v>244</v>
      </c>
      <c r="P52" s="254">
        <v>410</v>
      </c>
      <c r="Q52" s="254">
        <v>206</v>
      </c>
      <c r="R52" s="255" t="s">
        <v>37</v>
      </c>
      <c r="S52" s="255" t="s">
        <v>201</v>
      </c>
      <c r="T52" s="265">
        <v>0</v>
      </c>
      <c r="U52" s="265">
        <v>0</v>
      </c>
      <c r="V52" s="265">
        <v>0</v>
      </c>
      <c r="W52" s="265">
        <v>3601000</v>
      </c>
      <c r="X52" s="265">
        <v>3601000</v>
      </c>
      <c r="AA52" s="272">
        <v>2019</v>
      </c>
      <c r="AB52" s="272">
        <v>2670</v>
      </c>
      <c r="AC52" s="273" t="s">
        <v>257</v>
      </c>
      <c r="AD52" s="272" t="s">
        <v>292</v>
      </c>
      <c r="AE52" s="272">
        <v>9</v>
      </c>
      <c r="AF52" s="274" t="s">
        <v>298</v>
      </c>
      <c r="AG52" s="275">
        <v>204</v>
      </c>
      <c r="AH52" s="275">
        <v>179</v>
      </c>
      <c r="AI52" s="275">
        <v>0</v>
      </c>
      <c r="AJ52" s="276">
        <v>0</v>
      </c>
    </row>
    <row r="53" spans="1:36" ht="16" customHeight="1">
      <c r="A53">
        <v>2019</v>
      </c>
      <c r="B53">
        <v>1370</v>
      </c>
      <c r="C53" t="s">
        <v>255</v>
      </c>
      <c r="D53" t="s">
        <v>245</v>
      </c>
      <c r="E53" s="203">
        <v>96</v>
      </c>
      <c r="F53" s="203" t="s">
        <v>251</v>
      </c>
      <c r="G53" s="203" t="s">
        <v>247</v>
      </c>
      <c r="H53" s="204" t="s">
        <v>249</v>
      </c>
      <c r="I53" s="202">
        <v>0</v>
      </c>
      <c r="J53" s="202">
        <v>0</v>
      </c>
      <c r="K53" s="202">
        <v>0</v>
      </c>
      <c r="M53" s="254">
        <v>2019</v>
      </c>
      <c r="N53" s="254">
        <v>3740</v>
      </c>
      <c r="O53" s="255" t="s">
        <v>244</v>
      </c>
      <c r="P53" s="254">
        <v>410</v>
      </c>
      <c r="Q53" s="254">
        <v>207</v>
      </c>
      <c r="R53" s="255" t="s">
        <v>37</v>
      </c>
      <c r="S53" s="255" t="s">
        <v>137</v>
      </c>
      <c r="T53" s="265">
        <v>0</v>
      </c>
      <c r="U53" s="265">
        <v>0</v>
      </c>
      <c r="V53" s="265">
        <v>162371000</v>
      </c>
      <c r="W53" s="265">
        <v>0</v>
      </c>
      <c r="X53" s="265">
        <v>162371000</v>
      </c>
      <c r="AA53" s="272">
        <v>2019</v>
      </c>
      <c r="AB53" s="272">
        <v>2670</v>
      </c>
      <c r="AC53" s="273" t="s">
        <v>257</v>
      </c>
      <c r="AD53" s="272" t="s">
        <v>292</v>
      </c>
      <c r="AE53" s="272">
        <v>10</v>
      </c>
      <c r="AF53" s="274" t="s">
        <v>299</v>
      </c>
      <c r="AG53" s="275">
        <v>3898</v>
      </c>
      <c r="AH53" s="275">
        <v>3561</v>
      </c>
      <c r="AI53" s="275">
        <v>0</v>
      </c>
      <c r="AJ53" s="276">
        <v>0</v>
      </c>
    </row>
    <row r="54" spans="1:36" ht="16" customHeight="1">
      <c r="A54">
        <v>2019</v>
      </c>
      <c r="B54">
        <v>2670</v>
      </c>
      <c r="C54" t="s">
        <v>257</v>
      </c>
      <c r="D54" t="s">
        <v>245</v>
      </c>
      <c r="E54" s="203">
        <v>91</v>
      </c>
      <c r="F54" s="203" t="s">
        <v>246</v>
      </c>
      <c r="G54" s="203" t="s">
        <v>247</v>
      </c>
      <c r="H54" s="203" t="s">
        <v>248</v>
      </c>
      <c r="I54" s="202">
        <v>0</v>
      </c>
      <c r="J54" s="202">
        <v>0</v>
      </c>
      <c r="K54" s="202">
        <v>0</v>
      </c>
      <c r="M54" s="254">
        <v>2019</v>
      </c>
      <c r="N54" s="254">
        <v>3740</v>
      </c>
      <c r="O54" s="255" t="s">
        <v>244</v>
      </c>
      <c r="P54" s="254">
        <v>410</v>
      </c>
      <c r="Q54" s="254">
        <v>208</v>
      </c>
      <c r="R54" s="255" t="s">
        <v>37</v>
      </c>
      <c r="S54" s="255" t="s">
        <v>138</v>
      </c>
      <c r="T54" s="265">
        <v>0</v>
      </c>
      <c r="U54" s="265">
        <v>0</v>
      </c>
      <c r="V54" s="265">
        <v>0</v>
      </c>
      <c r="W54" s="265">
        <v>0</v>
      </c>
      <c r="X54" s="265">
        <v>0</v>
      </c>
      <c r="AA54" s="272">
        <v>2019</v>
      </c>
      <c r="AB54" s="272">
        <v>3050</v>
      </c>
      <c r="AC54" s="273" t="s">
        <v>254</v>
      </c>
      <c r="AD54" s="272" t="s">
        <v>292</v>
      </c>
      <c r="AE54" s="272">
        <v>1</v>
      </c>
      <c r="AF54" s="274" t="s">
        <v>293</v>
      </c>
      <c r="AG54" s="275">
        <v>6578</v>
      </c>
      <c r="AH54" s="275">
        <v>6367</v>
      </c>
      <c r="AI54" s="275">
        <v>27629787</v>
      </c>
      <c r="AJ54" s="276">
        <v>4339.5299198994817</v>
      </c>
    </row>
    <row r="55" spans="1:36" ht="16" customHeight="1">
      <c r="A55">
        <v>2019</v>
      </c>
      <c r="B55">
        <v>2670</v>
      </c>
      <c r="C55" t="s">
        <v>257</v>
      </c>
      <c r="D55" t="s">
        <v>245</v>
      </c>
      <c r="E55" s="203">
        <v>92</v>
      </c>
      <c r="F55" s="203" t="s">
        <v>246</v>
      </c>
      <c r="G55" s="203" t="s">
        <v>247</v>
      </c>
      <c r="H55" s="204" t="s">
        <v>249</v>
      </c>
      <c r="I55" s="202">
        <v>0</v>
      </c>
      <c r="J55" s="202">
        <v>0</v>
      </c>
      <c r="K55" s="202">
        <v>0</v>
      </c>
      <c r="M55" s="254">
        <v>2019</v>
      </c>
      <c r="N55" s="254">
        <v>3740</v>
      </c>
      <c r="O55" s="255" t="s">
        <v>244</v>
      </c>
      <c r="P55" s="254">
        <v>410</v>
      </c>
      <c r="Q55" s="254">
        <v>209</v>
      </c>
      <c r="R55" s="255" t="s">
        <v>37</v>
      </c>
      <c r="S55" s="255" t="s">
        <v>139</v>
      </c>
      <c r="T55" s="265">
        <v>0</v>
      </c>
      <c r="U55" s="265">
        <v>0</v>
      </c>
      <c r="V55" s="265">
        <v>266000</v>
      </c>
      <c r="W55" s="265">
        <v>0</v>
      </c>
      <c r="X55" s="265">
        <v>266000</v>
      </c>
      <c r="AA55" s="272">
        <v>2019</v>
      </c>
      <c r="AB55" s="272">
        <v>3050</v>
      </c>
      <c r="AC55" s="273" t="s">
        <v>254</v>
      </c>
      <c r="AD55" s="272" t="s">
        <v>292</v>
      </c>
      <c r="AE55" s="272">
        <v>2</v>
      </c>
      <c r="AF55" s="274" t="s">
        <v>294</v>
      </c>
      <c r="AG55" s="275">
        <v>0</v>
      </c>
      <c r="AH55" s="275">
        <v>0</v>
      </c>
      <c r="AI55" s="275">
        <v>0</v>
      </c>
      <c r="AJ55" s="276">
        <v>0</v>
      </c>
    </row>
    <row r="56" spans="1:36" ht="16" customHeight="1">
      <c r="A56">
        <v>2019</v>
      </c>
      <c r="B56">
        <v>2670</v>
      </c>
      <c r="C56" t="s">
        <v>257</v>
      </c>
      <c r="D56" t="s">
        <v>245</v>
      </c>
      <c r="E56" s="203">
        <v>93</v>
      </c>
      <c r="F56" s="203" t="s">
        <v>250</v>
      </c>
      <c r="G56" s="203" t="s">
        <v>247</v>
      </c>
      <c r="H56" s="203" t="s">
        <v>248</v>
      </c>
      <c r="I56" s="202">
        <v>0</v>
      </c>
      <c r="J56" s="202">
        <v>0</v>
      </c>
      <c r="K56" s="202">
        <v>0</v>
      </c>
      <c r="M56" s="254">
        <v>2019</v>
      </c>
      <c r="N56" s="254">
        <v>3740</v>
      </c>
      <c r="O56" s="255" t="s">
        <v>244</v>
      </c>
      <c r="P56" s="254">
        <v>410</v>
      </c>
      <c r="Q56" s="254">
        <v>210</v>
      </c>
      <c r="R56" s="255" t="s">
        <v>37</v>
      </c>
      <c r="S56" s="255" t="s">
        <v>140</v>
      </c>
      <c r="T56" s="265">
        <v>0</v>
      </c>
      <c r="U56" s="265">
        <v>0</v>
      </c>
      <c r="V56" s="265">
        <v>0</v>
      </c>
      <c r="W56" s="265">
        <v>0</v>
      </c>
      <c r="X56" s="265">
        <v>0</v>
      </c>
      <c r="AA56" s="272">
        <v>2019</v>
      </c>
      <c r="AB56" s="272">
        <v>3050</v>
      </c>
      <c r="AC56" s="273" t="s">
        <v>254</v>
      </c>
      <c r="AD56" s="272" t="s">
        <v>292</v>
      </c>
      <c r="AE56" s="272">
        <v>3</v>
      </c>
      <c r="AF56" s="274" t="s">
        <v>295</v>
      </c>
      <c r="AG56" s="275">
        <v>1780</v>
      </c>
      <c r="AH56" s="275">
        <v>1597</v>
      </c>
      <c r="AI56" s="275">
        <v>4227599</v>
      </c>
      <c r="AJ56" s="276">
        <v>2647.2128991859736</v>
      </c>
    </row>
    <row r="57" spans="1:36" ht="16" customHeight="1">
      <c r="A57">
        <v>2019</v>
      </c>
      <c r="B57">
        <v>2670</v>
      </c>
      <c r="C57" t="s">
        <v>257</v>
      </c>
      <c r="D57" t="s">
        <v>245</v>
      </c>
      <c r="E57" s="203">
        <v>94</v>
      </c>
      <c r="F57" s="203" t="s">
        <v>250</v>
      </c>
      <c r="G57" s="203" t="s">
        <v>247</v>
      </c>
      <c r="H57" s="204" t="s">
        <v>249</v>
      </c>
      <c r="I57" s="202">
        <v>0</v>
      </c>
      <c r="J57" s="202">
        <v>0</v>
      </c>
      <c r="K57" s="202">
        <v>0</v>
      </c>
      <c r="M57" s="254">
        <v>2019</v>
      </c>
      <c r="N57" s="254">
        <v>3740</v>
      </c>
      <c r="O57" s="255" t="s">
        <v>244</v>
      </c>
      <c r="P57" s="254">
        <v>410</v>
      </c>
      <c r="Q57" s="254">
        <v>211</v>
      </c>
      <c r="R57" s="255" t="s">
        <v>37</v>
      </c>
      <c r="S57" s="255" t="s">
        <v>141</v>
      </c>
      <c r="T57" s="265">
        <v>0</v>
      </c>
      <c r="U57" s="265">
        <v>0</v>
      </c>
      <c r="V57" s="265">
        <v>0</v>
      </c>
      <c r="W57" s="265">
        <v>0</v>
      </c>
      <c r="X57" s="265">
        <v>0</v>
      </c>
      <c r="AA57" s="272">
        <v>2019</v>
      </c>
      <c r="AB57" s="272">
        <v>3050</v>
      </c>
      <c r="AC57" s="273" t="s">
        <v>254</v>
      </c>
      <c r="AD57" s="272" t="s">
        <v>292</v>
      </c>
      <c r="AE57" s="272">
        <v>4</v>
      </c>
      <c r="AF57" s="274" t="s">
        <v>296</v>
      </c>
      <c r="AG57" s="275">
        <v>0</v>
      </c>
      <c r="AH57" s="275">
        <v>0</v>
      </c>
      <c r="AI57" s="275">
        <v>0</v>
      </c>
      <c r="AJ57" s="276">
        <v>0</v>
      </c>
    </row>
    <row r="58" spans="1:36" ht="16" customHeight="1">
      <c r="A58">
        <v>2019</v>
      </c>
      <c r="B58">
        <v>2670</v>
      </c>
      <c r="C58" t="s">
        <v>257</v>
      </c>
      <c r="D58" t="s">
        <v>245</v>
      </c>
      <c r="E58" s="203">
        <v>97</v>
      </c>
      <c r="F58" s="203" t="s">
        <v>251</v>
      </c>
      <c r="G58" s="203" t="s">
        <v>247</v>
      </c>
      <c r="H58" s="203" t="s">
        <v>248</v>
      </c>
      <c r="I58" s="202">
        <v>0</v>
      </c>
      <c r="J58" s="202">
        <v>0</v>
      </c>
      <c r="K58" s="202">
        <v>0</v>
      </c>
      <c r="M58" s="254">
        <v>2019</v>
      </c>
      <c r="N58" s="254">
        <v>3740</v>
      </c>
      <c r="O58" s="255" t="s">
        <v>244</v>
      </c>
      <c r="P58" s="254">
        <v>410</v>
      </c>
      <c r="Q58" s="254">
        <v>212</v>
      </c>
      <c r="R58" s="255" t="s">
        <v>37</v>
      </c>
      <c r="S58" s="255" t="s">
        <v>142</v>
      </c>
      <c r="T58" s="265">
        <v>0</v>
      </c>
      <c r="U58" s="265">
        <v>0</v>
      </c>
      <c r="V58" s="265">
        <v>-2686000</v>
      </c>
      <c r="W58" s="265">
        <v>0</v>
      </c>
      <c r="X58" s="265">
        <v>-2686000</v>
      </c>
      <c r="AA58" s="272">
        <v>2019</v>
      </c>
      <c r="AB58" s="272">
        <v>3050</v>
      </c>
      <c r="AC58" s="273" t="s">
        <v>254</v>
      </c>
      <c r="AD58" s="272" t="s">
        <v>292</v>
      </c>
      <c r="AE58" s="272">
        <v>5</v>
      </c>
      <c r="AF58" s="274" t="s">
        <v>297</v>
      </c>
      <c r="AG58" s="275">
        <v>8358</v>
      </c>
      <c r="AH58" s="275">
        <v>7964</v>
      </c>
      <c r="AI58" s="275">
        <v>31857386</v>
      </c>
      <c r="AJ58" s="276">
        <v>4000.1740331491715</v>
      </c>
    </row>
    <row r="59" spans="1:36" ht="16" customHeight="1">
      <c r="A59">
        <v>2019</v>
      </c>
      <c r="B59">
        <v>2670</v>
      </c>
      <c r="C59" t="s">
        <v>257</v>
      </c>
      <c r="D59" t="s">
        <v>245</v>
      </c>
      <c r="E59" s="203">
        <v>98</v>
      </c>
      <c r="F59" s="203" t="s">
        <v>251</v>
      </c>
      <c r="G59" s="203" t="s">
        <v>247</v>
      </c>
      <c r="H59" s="204" t="s">
        <v>249</v>
      </c>
      <c r="I59" s="202">
        <v>0</v>
      </c>
      <c r="J59" s="202">
        <v>0</v>
      </c>
      <c r="K59" s="202">
        <v>0</v>
      </c>
      <c r="M59" s="254">
        <v>2019</v>
      </c>
      <c r="N59" s="254">
        <v>3740</v>
      </c>
      <c r="O59" s="255" t="s">
        <v>244</v>
      </c>
      <c r="P59" s="254">
        <v>410</v>
      </c>
      <c r="Q59" s="254">
        <v>213</v>
      </c>
      <c r="R59" s="255" t="s">
        <v>37</v>
      </c>
      <c r="S59" s="255" t="s">
        <v>145</v>
      </c>
      <c r="T59" s="265">
        <v>0</v>
      </c>
      <c r="U59" s="265">
        <v>0</v>
      </c>
      <c r="V59" s="265">
        <v>0</v>
      </c>
      <c r="W59" s="265">
        <v>432672000</v>
      </c>
      <c r="X59" s="265">
        <v>432672000</v>
      </c>
      <c r="AA59" s="272">
        <v>2019</v>
      </c>
      <c r="AB59" s="272">
        <v>3050</v>
      </c>
      <c r="AC59" s="273" t="s">
        <v>254</v>
      </c>
      <c r="AD59" s="272" t="s">
        <v>292</v>
      </c>
      <c r="AE59" s="272">
        <v>9</v>
      </c>
      <c r="AF59" s="274" t="s">
        <v>298</v>
      </c>
      <c r="AG59" s="275">
        <v>33</v>
      </c>
      <c r="AH59" s="275">
        <v>25</v>
      </c>
      <c r="AI59" s="275">
        <v>0</v>
      </c>
      <c r="AJ59" s="276">
        <v>0</v>
      </c>
    </row>
    <row r="60" spans="1:36" ht="16" customHeight="1">
      <c r="A60">
        <v>2019</v>
      </c>
      <c r="B60">
        <v>1550</v>
      </c>
      <c r="C60" t="s">
        <v>258</v>
      </c>
      <c r="D60" t="s">
        <v>245</v>
      </c>
      <c r="E60" s="203">
        <v>91</v>
      </c>
      <c r="F60" s="203" t="s">
        <v>246</v>
      </c>
      <c r="G60" s="203" t="s">
        <v>247</v>
      </c>
      <c r="H60" s="203" t="s">
        <v>248</v>
      </c>
      <c r="I60" s="202">
        <v>35</v>
      </c>
      <c r="J60" s="202">
        <v>7560</v>
      </c>
      <c r="K60" s="202">
        <v>97964000</v>
      </c>
      <c r="M60" s="254">
        <v>2019</v>
      </c>
      <c r="N60" s="254">
        <v>3740</v>
      </c>
      <c r="O60" s="255" t="s">
        <v>244</v>
      </c>
      <c r="P60" s="254">
        <v>410</v>
      </c>
      <c r="Q60" s="254">
        <v>214</v>
      </c>
      <c r="R60" s="255" t="s">
        <v>37</v>
      </c>
      <c r="S60" s="255" t="s">
        <v>152</v>
      </c>
      <c r="T60" s="265">
        <v>0</v>
      </c>
      <c r="U60" s="265">
        <v>0</v>
      </c>
      <c r="V60" s="265">
        <v>486000</v>
      </c>
      <c r="W60" s="265">
        <v>0</v>
      </c>
      <c r="X60" s="265">
        <v>486000</v>
      </c>
      <c r="AA60" s="272">
        <v>2019</v>
      </c>
      <c r="AB60" s="272">
        <v>3050</v>
      </c>
      <c r="AC60" s="273" t="s">
        <v>254</v>
      </c>
      <c r="AD60" s="272" t="s">
        <v>292</v>
      </c>
      <c r="AE60" s="272">
        <v>10</v>
      </c>
      <c r="AF60" s="274" t="s">
        <v>299</v>
      </c>
      <c r="AG60" s="275">
        <v>8391</v>
      </c>
      <c r="AH60" s="275">
        <v>7989</v>
      </c>
      <c r="AI60" s="275">
        <v>0</v>
      </c>
      <c r="AJ60" s="276">
        <v>0</v>
      </c>
    </row>
    <row r="61" spans="1:36" ht="16" customHeight="1">
      <c r="A61">
        <v>2019</v>
      </c>
      <c r="B61">
        <v>1550</v>
      </c>
      <c r="C61" t="s">
        <v>258</v>
      </c>
      <c r="D61" t="s">
        <v>245</v>
      </c>
      <c r="E61" s="203">
        <v>92</v>
      </c>
      <c r="F61" s="203" t="s">
        <v>246</v>
      </c>
      <c r="G61" s="203" t="s">
        <v>247</v>
      </c>
      <c r="H61" s="204" t="s">
        <v>249</v>
      </c>
      <c r="I61" s="202">
        <v>157</v>
      </c>
      <c r="J61" s="202">
        <v>32904</v>
      </c>
      <c r="K61" s="202">
        <v>278797000</v>
      </c>
      <c r="M61" s="254">
        <v>2019</v>
      </c>
      <c r="N61" s="254">
        <v>3740</v>
      </c>
      <c r="O61" s="255" t="s">
        <v>244</v>
      </c>
      <c r="P61" s="254">
        <v>410</v>
      </c>
      <c r="Q61" s="254">
        <v>215</v>
      </c>
      <c r="R61" s="255" t="s">
        <v>37</v>
      </c>
      <c r="S61" s="255" t="s">
        <v>153</v>
      </c>
      <c r="T61" s="265">
        <v>0</v>
      </c>
      <c r="U61" s="265">
        <v>0</v>
      </c>
      <c r="V61" s="265">
        <v>0</v>
      </c>
      <c r="W61" s="265">
        <v>0</v>
      </c>
      <c r="X61" s="265">
        <v>0</v>
      </c>
      <c r="AA61" s="272">
        <v>2019</v>
      </c>
      <c r="AB61" s="272">
        <v>3410</v>
      </c>
      <c r="AC61" s="273" t="s">
        <v>253</v>
      </c>
      <c r="AD61" s="272" t="s">
        <v>292</v>
      </c>
      <c r="AE61" s="272">
        <v>1</v>
      </c>
      <c r="AF61" s="274" t="s">
        <v>293</v>
      </c>
      <c r="AG61" s="275">
        <v>535</v>
      </c>
      <c r="AH61" s="275">
        <v>448</v>
      </c>
      <c r="AI61" s="275">
        <v>1807100</v>
      </c>
      <c r="AJ61" s="276">
        <v>4033.7053571428573</v>
      </c>
    </row>
    <row r="62" spans="1:36" ht="16" customHeight="1">
      <c r="A62">
        <v>2019</v>
      </c>
      <c r="B62">
        <v>1550</v>
      </c>
      <c r="C62" t="s">
        <v>258</v>
      </c>
      <c r="D62" t="s">
        <v>245</v>
      </c>
      <c r="E62" s="203">
        <v>93</v>
      </c>
      <c r="F62" s="203" t="s">
        <v>250</v>
      </c>
      <c r="G62" s="203" t="s">
        <v>247</v>
      </c>
      <c r="H62" s="203" t="s">
        <v>248</v>
      </c>
      <c r="I62" s="202">
        <v>200</v>
      </c>
      <c r="J62" s="202">
        <v>6400</v>
      </c>
      <c r="K62" s="202">
        <v>20189000</v>
      </c>
      <c r="M62" s="254">
        <v>2019</v>
      </c>
      <c r="N62" s="254">
        <v>3740</v>
      </c>
      <c r="O62" s="255" t="s">
        <v>244</v>
      </c>
      <c r="P62" s="254">
        <v>410</v>
      </c>
      <c r="Q62" s="254">
        <v>216</v>
      </c>
      <c r="R62" s="255" t="s">
        <v>37</v>
      </c>
      <c r="S62" s="255" t="s">
        <v>202</v>
      </c>
      <c r="T62" s="265">
        <v>0</v>
      </c>
      <c r="U62" s="265">
        <v>0</v>
      </c>
      <c r="V62" s="265">
        <v>0</v>
      </c>
      <c r="W62" s="265">
        <v>0</v>
      </c>
      <c r="X62" s="265">
        <v>0</v>
      </c>
      <c r="AA62" s="272">
        <v>2019</v>
      </c>
      <c r="AB62" s="272">
        <v>3410</v>
      </c>
      <c r="AC62" s="273" t="s">
        <v>253</v>
      </c>
      <c r="AD62" s="272" t="s">
        <v>292</v>
      </c>
      <c r="AE62" s="272">
        <v>2</v>
      </c>
      <c r="AF62" s="274" t="s">
        <v>294</v>
      </c>
      <c r="AG62" s="275">
        <v>3</v>
      </c>
      <c r="AH62" s="275">
        <v>3</v>
      </c>
      <c r="AI62" s="275">
        <v>6000</v>
      </c>
      <c r="AJ62" s="276">
        <v>2000</v>
      </c>
    </row>
    <row r="63" spans="1:36" ht="16" customHeight="1">
      <c r="A63">
        <v>2019</v>
      </c>
      <c r="B63">
        <v>1550</v>
      </c>
      <c r="C63" t="s">
        <v>258</v>
      </c>
      <c r="D63" t="s">
        <v>245</v>
      </c>
      <c r="E63" s="203">
        <v>94</v>
      </c>
      <c r="F63" s="203" t="s">
        <v>250</v>
      </c>
      <c r="G63" s="203" t="s">
        <v>247</v>
      </c>
      <c r="H63" s="204" t="s">
        <v>249</v>
      </c>
      <c r="I63" s="202">
        <v>0</v>
      </c>
      <c r="J63" s="202">
        <v>0</v>
      </c>
      <c r="K63" s="202">
        <v>0</v>
      </c>
      <c r="M63" s="254">
        <v>2019</v>
      </c>
      <c r="N63" s="254">
        <v>3740</v>
      </c>
      <c r="O63" s="255" t="s">
        <v>244</v>
      </c>
      <c r="P63" s="254">
        <v>410</v>
      </c>
      <c r="Q63" s="254">
        <v>217</v>
      </c>
      <c r="R63" s="255" t="s">
        <v>37</v>
      </c>
      <c r="S63" s="255" t="s">
        <v>156</v>
      </c>
      <c r="T63" s="265">
        <v>0</v>
      </c>
      <c r="U63" s="265">
        <v>0</v>
      </c>
      <c r="V63" s="265">
        <v>0</v>
      </c>
      <c r="W63" s="265">
        <v>0</v>
      </c>
      <c r="X63" s="265">
        <v>0</v>
      </c>
      <c r="AA63" s="272">
        <v>2019</v>
      </c>
      <c r="AB63" s="272">
        <v>3410</v>
      </c>
      <c r="AC63" s="273" t="s">
        <v>253</v>
      </c>
      <c r="AD63" s="272" t="s">
        <v>292</v>
      </c>
      <c r="AE63" s="272">
        <v>3</v>
      </c>
      <c r="AF63" s="274" t="s">
        <v>295</v>
      </c>
      <c r="AG63" s="275">
        <v>0</v>
      </c>
      <c r="AH63" s="275">
        <v>0</v>
      </c>
      <c r="AI63" s="275">
        <v>0</v>
      </c>
      <c r="AJ63" s="276">
        <v>0</v>
      </c>
    </row>
    <row r="64" spans="1:36" ht="16" customHeight="1">
      <c r="A64">
        <v>2019</v>
      </c>
      <c r="B64">
        <v>1550</v>
      </c>
      <c r="C64" t="s">
        <v>258</v>
      </c>
      <c r="D64" t="s">
        <v>245</v>
      </c>
      <c r="E64" s="203">
        <v>95</v>
      </c>
      <c r="F64" s="203" t="s">
        <v>251</v>
      </c>
      <c r="G64" s="203" t="s">
        <v>247</v>
      </c>
      <c r="H64" s="203" t="s">
        <v>248</v>
      </c>
      <c r="I64" s="202">
        <v>1256</v>
      </c>
      <c r="J64" s="202">
        <v>6500</v>
      </c>
      <c r="K64" s="202">
        <v>13517000</v>
      </c>
      <c r="M64" s="254">
        <v>2019</v>
      </c>
      <c r="N64" s="254">
        <v>3740</v>
      </c>
      <c r="O64" s="255" t="s">
        <v>244</v>
      </c>
      <c r="P64" s="254">
        <v>410</v>
      </c>
      <c r="Q64" s="254">
        <v>218</v>
      </c>
      <c r="R64" s="255" t="s">
        <v>37</v>
      </c>
      <c r="S64" s="255" t="s">
        <v>158</v>
      </c>
      <c r="T64" s="265">
        <v>1862000</v>
      </c>
      <c r="U64" s="265">
        <v>27000</v>
      </c>
      <c r="V64" s="265">
        <v>249000</v>
      </c>
      <c r="W64" s="265">
        <v>223000</v>
      </c>
      <c r="X64" s="265">
        <v>2361000</v>
      </c>
      <c r="AA64" s="272">
        <v>2019</v>
      </c>
      <c r="AB64" s="272">
        <v>3410</v>
      </c>
      <c r="AC64" s="273" t="s">
        <v>253</v>
      </c>
      <c r="AD64" s="272" t="s">
        <v>292</v>
      </c>
      <c r="AE64" s="272">
        <v>4</v>
      </c>
      <c r="AF64" s="274" t="s">
        <v>296</v>
      </c>
      <c r="AG64" s="275">
        <v>100</v>
      </c>
      <c r="AH64" s="275">
        <v>92</v>
      </c>
      <c r="AI64" s="275">
        <v>187500</v>
      </c>
      <c r="AJ64" s="276">
        <v>2038.0434782608695</v>
      </c>
    </row>
    <row r="65" spans="1:36" ht="16" customHeight="1">
      <c r="A65">
        <v>2019</v>
      </c>
      <c r="B65">
        <v>1550</v>
      </c>
      <c r="C65" t="s">
        <v>258</v>
      </c>
      <c r="D65" t="s">
        <v>245</v>
      </c>
      <c r="E65" s="203">
        <v>96</v>
      </c>
      <c r="F65" s="203" t="s">
        <v>251</v>
      </c>
      <c r="G65" s="203" t="s">
        <v>247</v>
      </c>
      <c r="H65" s="204" t="s">
        <v>249</v>
      </c>
      <c r="I65" s="202">
        <v>0</v>
      </c>
      <c r="J65" s="202">
        <v>0</v>
      </c>
      <c r="K65" s="202">
        <v>0</v>
      </c>
      <c r="M65" s="254">
        <v>2019</v>
      </c>
      <c r="N65" s="254">
        <v>3680</v>
      </c>
      <c r="O65" s="255" t="s">
        <v>252</v>
      </c>
      <c r="P65" s="254">
        <v>410</v>
      </c>
      <c r="Q65" s="254">
        <v>201</v>
      </c>
      <c r="R65" s="255" t="s">
        <v>37</v>
      </c>
      <c r="S65" s="255" t="s">
        <v>203</v>
      </c>
      <c r="T65" s="265">
        <v>1346000</v>
      </c>
      <c r="U65" s="265">
        <v>3000</v>
      </c>
      <c r="V65" s="265">
        <v>316000</v>
      </c>
      <c r="W65" s="265">
        <v>24000</v>
      </c>
      <c r="X65" s="265">
        <v>1689000</v>
      </c>
      <c r="AA65" s="272">
        <v>2019</v>
      </c>
      <c r="AB65" s="272">
        <v>3410</v>
      </c>
      <c r="AC65" s="273" t="s">
        <v>253</v>
      </c>
      <c r="AD65" s="272" t="s">
        <v>292</v>
      </c>
      <c r="AE65" s="272">
        <v>5</v>
      </c>
      <c r="AF65" s="274" t="s">
        <v>297</v>
      </c>
      <c r="AG65" s="275">
        <v>638</v>
      </c>
      <c r="AH65" s="275">
        <v>543</v>
      </c>
      <c r="AI65" s="275">
        <v>2000600</v>
      </c>
      <c r="AJ65" s="276">
        <v>3684.3462246777162</v>
      </c>
    </row>
    <row r="66" spans="1:36" ht="16" customHeight="1">
      <c r="A66">
        <v>2018</v>
      </c>
      <c r="B66">
        <v>3740</v>
      </c>
      <c r="C66" t="s">
        <v>244</v>
      </c>
      <c r="D66" t="s">
        <v>245</v>
      </c>
      <c r="E66" s="203">
        <v>91</v>
      </c>
      <c r="F66" s="203" t="s">
        <v>246</v>
      </c>
      <c r="G66" s="203" t="s">
        <v>247</v>
      </c>
      <c r="H66" s="203" t="s">
        <v>248</v>
      </c>
      <c r="I66" s="202">
        <v>48</v>
      </c>
      <c r="J66" s="202">
        <v>10268</v>
      </c>
      <c r="K66" s="202">
        <v>155628000</v>
      </c>
      <c r="M66" s="254">
        <v>2019</v>
      </c>
      <c r="N66" s="254">
        <v>3680</v>
      </c>
      <c r="O66" s="255" t="s">
        <v>252</v>
      </c>
      <c r="P66" s="254">
        <v>410</v>
      </c>
      <c r="Q66" s="254">
        <v>202</v>
      </c>
      <c r="R66" s="255" t="s">
        <v>37</v>
      </c>
      <c r="S66" s="255" t="s">
        <v>197</v>
      </c>
      <c r="T66" s="265">
        <v>7009000</v>
      </c>
      <c r="U66" s="265">
        <v>12011000</v>
      </c>
      <c r="V66" s="265">
        <v>27710000</v>
      </c>
      <c r="W66" s="265">
        <v>70000</v>
      </c>
      <c r="X66" s="265">
        <v>46800000</v>
      </c>
      <c r="AA66" s="272">
        <v>2019</v>
      </c>
      <c r="AB66" s="272">
        <v>3410</v>
      </c>
      <c r="AC66" s="273" t="s">
        <v>253</v>
      </c>
      <c r="AD66" s="272" t="s">
        <v>292</v>
      </c>
      <c r="AE66" s="272">
        <v>10</v>
      </c>
      <c r="AF66" s="274" t="s">
        <v>299</v>
      </c>
      <c r="AG66" s="275">
        <v>638</v>
      </c>
      <c r="AH66" s="275">
        <v>543</v>
      </c>
      <c r="AI66" s="275">
        <v>0</v>
      </c>
      <c r="AJ66" s="276">
        <v>0</v>
      </c>
    </row>
    <row r="67" spans="1:36" ht="16" customHeight="1">
      <c r="A67">
        <v>2018</v>
      </c>
      <c r="B67">
        <v>3740</v>
      </c>
      <c r="C67" t="s">
        <v>244</v>
      </c>
      <c r="D67" t="s">
        <v>245</v>
      </c>
      <c r="E67" s="203">
        <v>92</v>
      </c>
      <c r="F67" s="203" t="s">
        <v>246</v>
      </c>
      <c r="G67" s="203" t="s">
        <v>247</v>
      </c>
      <c r="H67" s="204" t="s">
        <v>249</v>
      </c>
      <c r="I67" s="202">
        <v>203</v>
      </c>
      <c r="J67" s="202">
        <v>37433</v>
      </c>
      <c r="K67" s="202">
        <v>72107000</v>
      </c>
      <c r="M67" s="254">
        <v>2019</v>
      </c>
      <c r="N67" s="254">
        <v>3680</v>
      </c>
      <c r="O67" s="255" t="s">
        <v>252</v>
      </c>
      <c r="P67" s="254">
        <v>410</v>
      </c>
      <c r="Q67" s="254">
        <v>203</v>
      </c>
      <c r="R67" s="255" t="s">
        <v>37</v>
      </c>
      <c r="S67" s="255" t="s">
        <v>198</v>
      </c>
      <c r="T67" s="265">
        <v>8000</v>
      </c>
      <c r="U67" s="265">
        <v>37000</v>
      </c>
      <c r="V67" s="265">
        <v>165000</v>
      </c>
      <c r="W67" s="265">
        <v>0</v>
      </c>
      <c r="X67" s="265">
        <v>210000</v>
      </c>
      <c r="AA67" s="272">
        <v>2019</v>
      </c>
      <c r="AB67" s="272">
        <v>3680</v>
      </c>
      <c r="AC67" s="273" t="s">
        <v>252</v>
      </c>
      <c r="AD67" s="272" t="s">
        <v>292</v>
      </c>
      <c r="AE67" s="272">
        <v>1</v>
      </c>
      <c r="AF67" s="274" t="s">
        <v>293</v>
      </c>
      <c r="AG67" s="275">
        <v>0</v>
      </c>
      <c r="AH67" s="275">
        <v>0</v>
      </c>
      <c r="AI67" s="275">
        <v>0</v>
      </c>
      <c r="AJ67" s="276">
        <v>0</v>
      </c>
    </row>
    <row r="68" spans="1:36" ht="16" customHeight="1">
      <c r="A68">
        <v>2018</v>
      </c>
      <c r="B68">
        <v>3740</v>
      </c>
      <c r="C68" t="s">
        <v>244</v>
      </c>
      <c r="D68" t="s">
        <v>245</v>
      </c>
      <c r="E68" s="203">
        <v>93</v>
      </c>
      <c r="F68" s="203" t="s">
        <v>250</v>
      </c>
      <c r="G68" s="203" t="s">
        <v>247</v>
      </c>
      <c r="H68" s="203" t="s">
        <v>248</v>
      </c>
      <c r="I68" s="202">
        <v>689</v>
      </c>
      <c r="J68" s="202">
        <v>21561</v>
      </c>
      <c r="K68" s="202">
        <v>29977000</v>
      </c>
      <c r="M68" s="254">
        <v>2019</v>
      </c>
      <c r="N68" s="254">
        <v>3680</v>
      </c>
      <c r="O68" s="255" t="s">
        <v>252</v>
      </c>
      <c r="P68" s="254">
        <v>410</v>
      </c>
      <c r="Q68" s="254">
        <v>204</v>
      </c>
      <c r="R68" s="255" t="s">
        <v>37</v>
      </c>
      <c r="S68" s="255" t="s">
        <v>199</v>
      </c>
      <c r="T68" s="265">
        <v>36000</v>
      </c>
      <c r="U68" s="265">
        <v>76000</v>
      </c>
      <c r="V68" s="265">
        <v>307000</v>
      </c>
      <c r="W68" s="265">
        <v>0</v>
      </c>
      <c r="X68" s="265">
        <v>419000</v>
      </c>
      <c r="AA68" s="272">
        <v>2019</v>
      </c>
      <c r="AB68" s="272">
        <v>3680</v>
      </c>
      <c r="AC68" s="273" t="s">
        <v>252</v>
      </c>
      <c r="AD68" s="272" t="s">
        <v>292</v>
      </c>
      <c r="AE68" s="272">
        <v>2</v>
      </c>
      <c r="AF68" s="274" t="s">
        <v>294</v>
      </c>
      <c r="AG68" s="275">
        <v>0</v>
      </c>
      <c r="AH68" s="275">
        <v>0</v>
      </c>
      <c r="AI68" s="275">
        <v>0</v>
      </c>
      <c r="AJ68" s="276">
        <v>0</v>
      </c>
    </row>
    <row r="69" spans="1:36" ht="16" customHeight="1">
      <c r="A69">
        <v>2018</v>
      </c>
      <c r="B69">
        <v>3740</v>
      </c>
      <c r="C69" t="s">
        <v>244</v>
      </c>
      <c r="D69" t="s">
        <v>245</v>
      </c>
      <c r="E69" s="203">
        <v>94</v>
      </c>
      <c r="F69" s="203" t="s">
        <v>250</v>
      </c>
      <c r="G69" s="203" t="s">
        <v>247</v>
      </c>
      <c r="H69" s="204" t="s">
        <v>249</v>
      </c>
      <c r="I69" s="202">
        <v>0</v>
      </c>
      <c r="J69" s="202">
        <v>0</v>
      </c>
      <c r="K69" s="202">
        <v>0</v>
      </c>
      <c r="M69" s="254">
        <v>2019</v>
      </c>
      <c r="N69" s="254">
        <v>3680</v>
      </c>
      <c r="O69" s="255" t="s">
        <v>252</v>
      </c>
      <c r="P69" s="254">
        <v>410</v>
      </c>
      <c r="Q69" s="254">
        <v>205</v>
      </c>
      <c r="R69" s="255" t="s">
        <v>37</v>
      </c>
      <c r="S69" s="255" t="s">
        <v>200</v>
      </c>
      <c r="T69" s="265">
        <v>0</v>
      </c>
      <c r="U69" s="265">
        <v>0</v>
      </c>
      <c r="V69" s="265">
        <v>0</v>
      </c>
      <c r="W69" s="265">
        <v>2776000</v>
      </c>
      <c r="X69" s="265">
        <v>2776000</v>
      </c>
      <c r="AA69" s="272">
        <v>2019</v>
      </c>
      <c r="AB69" s="272">
        <v>3680</v>
      </c>
      <c r="AC69" s="273" t="s">
        <v>252</v>
      </c>
      <c r="AD69" s="272" t="s">
        <v>292</v>
      </c>
      <c r="AE69" s="272">
        <v>3</v>
      </c>
      <c r="AF69" s="274" t="s">
        <v>295</v>
      </c>
      <c r="AG69" s="275">
        <v>428</v>
      </c>
      <c r="AH69" s="275">
        <v>408</v>
      </c>
      <c r="AI69" s="275">
        <v>1552980</v>
      </c>
      <c r="AJ69" s="276">
        <v>3806.3235294117649</v>
      </c>
    </row>
    <row r="70" spans="1:36" ht="16" customHeight="1">
      <c r="A70">
        <v>2018</v>
      </c>
      <c r="B70">
        <v>3740</v>
      </c>
      <c r="C70" t="s">
        <v>244</v>
      </c>
      <c r="D70" t="s">
        <v>245</v>
      </c>
      <c r="E70" s="203">
        <v>97</v>
      </c>
      <c r="F70" s="203" t="s">
        <v>251</v>
      </c>
      <c r="G70" s="203" t="s">
        <v>247</v>
      </c>
      <c r="H70" s="203" t="s">
        <v>248</v>
      </c>
      <c r="I70" s="202">
        <v>6400</v>
      </c>
      <c r="J70" s="202">
        <v>29621</v>
      </c>
      <c r="K70" s="202">
        <v>69520000</v>
      </c>
      <c r="M70" s="254">
        <v>2019</v>
      </c>
      <c r="N70" s="254">
        <v>3680</v>
      </c>
      <c r="O70" s="255" t="s">
        <v>252</v>
      </c>
      <c r="P70" s="254">
        <v>410</v>
      </c>
      <c r="Q70" s="254">
        <v>206</v>
      </c>
      <c r="R70" s="255" t="s">
        <v>37</v>
      </c>
      <c r="S70" s="255" t="s">
        <v>201</v>
      </c>
      <c r="T70" s="265">
        <v>0</v>
      </c>
      <c r="U70" s="265">
        <v>0</v>
      </c>
      <c r="V70" s="265">
        <v>0</v>
      </c>
      <c r="W70" s="265">
        <v>485000</v>
      </c>
      <c r="X70" s="265">
        <v>485000</v>
      </c>
      <c r="AA70" s="272">
        <v>2019</v>
      </c>
      <c r="AB70" s="272">
        <v>3680</v>
      </c>
      <c r="AC70" s="273" t="s">
        <v>252</v>
      </c>
      <c r="AD70" s="272" t="s">
        <v>292</v>
      </c>
      <c r="AE70" s="272">
        <v>4</v>
      </c>
      <c r="AF70" s="274" t="s">
        <v>296</v>
      </c>
      <c r="AG70" s="275">
        <v>42</v>
      </c>
      <c r="AH70" s="275">
        <v>42</v>
      </c>
      <c r="AI70" s="275">
        <v>85000</v>
      </c>
      <c r="AJ70" s="276">
        <v>2023.8095238095239</v>
      </c>
    </row>
    <row r="71" spans="1:36" ht="16" customHeight="1">
      <c r="A71">
        <v>2018</v>
      </c>
      <c r="B71">
        <v>3740</v>
      </c>
      <c r="C71" t="s">
        <v>244</v>
      </c>
      <c r="D71" t="s">
        <v>245</v>
      </c>
      <c r="E71" s="203">
        <v>98</v>
      </c>
      <c r="F71" s="203" t="s">
        <v>251</v>
      </c>
      <c r="G71" s="203" t="s">
        <v>247</v>
      </c>
      <c r="H71" s="204" t="s">
        <v>249</v>
      </c>
      <c r="I71" s="202">
        <v>0</v>
      </c>
      <c r="J71" s="202">
        <v>0</v>
      </c>
      <c r="K71" s="202">
        <v>0</v>
      </c>
      <c r="M71" s="254">
        <v>2019</v>
      </c>
      <c r="N71" s="254">
        <v>3680</v>
      </c>
      <c r="O71" s="255" t="s">
        <v>252</v>
      </c>
      <c r="P71" s="254">
        <v>410</v>
      </c>
      <c r="Q71" s="254">
        <v>207</v>
      </c>
      <c r="R71" s="255" t="s">
        <v>37</v>
      </c>
      <c r="S71" s="255" t="s">
        <v>137</v>
      </c>
      <c r="T71" s="265">
        <v>0</v>
      </c>
      <c r="U71" s="265">
        <v>0</v>
      </c>
      <c r="V71" s="265">
        <v>12426000</v>
      </c>
      <c r="W71" s="265">
        <v>0</v>
      </c>
      <c r="X71" s="265">
        <v>12426000</v>
      </c>
      <c r="AA71" s="272">
        <v>2019</v>
      </c>
      <c r="AB71" s="272">
        <v>3680</v>
      </c>
      <c r="AC71" s="273" t="s">
        <v>252</v>
      </c>
      <c r="AD71" s="272" t="s">
        <v>292</v>
      </c>
      <c r="AE71" s="272">
        <v>5</v>
      </c>
      <c r="AF71" s="274" t="s">
        <v>297</v>
      </c>
      <c r="AG71" s="275">
        <v>470</v>
      </c>
      <c r="AH71" s="275">
        <v>450</v>
      </c>
      <c r="AI71" s="275">
        <v>1637980</v>
      </c>
      <c r="AJ71" s="276">
        <v>3639.9555555555557</v>
      </c>
    </row>
    <row r="72" spans="1:36" ht="16" customHeight="1">
      <c r="A72">
        <v>2018</v>
      </c>
      <c r="B72">
        <v>3680</v>
      </c>
      <c r="C72" t="s">
        <v>252</v>
      </c>
      <c r="D72" t="s">
        <v>245</v>
      </c>
      <c r="E72" s="203">
        <v>91</v>
      </c>
      <c r="F72" s="203" t="s">
        <v>246</v>
      </c>
      <c r="G72" s="203" t="s">
        <v>247</v>
      </c>
      <c r="H72" s="203" t="s">
        <v>248</v>
      </c>
      <c r="I72" s="202">
        <v>0</v>
      </c>
      <c r="J72" s="202">
        <v>0</v>
      </c>
      <c r="K72" s="202">
        <v>0</v>
      </c>
      <c r="M72" s="254">
        <v>2019</v>
      </c>
      <c r="N72" s="254">
        <v>3680</v>
      </c>
      <c r="O72" s="255" t="s">
        <v>252</v>
      </c>
      <c r="P72" s="254">
        <v>410</v>
      </c>
      <c r="Q72" s="254">
        <v>208</v>
      </c>
      <c r="R72" s="255" t="s">
        <v>37</v>
      </c>
      <c r="S72" s="255" t="s">
        <v>138</v>
      </c>
      <c r="T72" s="265">
        <v>0</v>
      </c>
      <c r="U72" s="265">
        <v>0</v>
      </c>
      <c r="V72" s="265">
        <v>0</v>
      </c>
      <c r="W72" s="265">
        <v>0</v>
      </c>
      <c r="X72" s="265">
        <v>0</v>
      </c>
      <c r="AA72" s="272">
        <v>2019</v>
      </c>
      <c r="AB72" s="272">
        <v>3680</v>
      </c>
      <c r="AC72" s="273" t="s">
        <v>252</v>
      </c>
      <c r="AD72" s="272" t="s">
        <v>292</v>
      </c>
      <c r="AE72" s="272">
        <v>10</v>
      </c>
      <c r="AF72" s="274" t="s">
        <v>299</v>
      </c>
      <c r="AG72" s="275">
        <v>470</v>
      </c>
      <c r="AH72" s="275">
        <v>450</v>
      </c>
      <c r="AI72" s="275">
        <v>0</v>
      </c>
      <c r="AJ72" s="276">
        <v>0</v>
      </c>
    </row>
    <row r="73" spans="1:36" ht="16" customHeight="1">
      <c r="A73">
        <v>2018</v>
      </c>
      <c r="B73">
        <v>3680</v>
      </c>
      <c r="C73" t="s">
        <v>252</v>
      </c>
      <c r="D73" t="s">
        <v>245</v>
      </c>
      <c r="E73" s="203">
        <v>92</v>
      </c>
      <c r="F73" s="203" t="s">
        <v>246</v>
      </c>
      <c r="G73" s="203" t="s">
        <v>247</v>
      </c>
      <c r="H73" s="204" t="s">
        <v>249</v>
      </c>
      <c r="I73" s="202">
        <v>0</v>
      </c>
      <c r="J73" s="202">
        <v>0</v>
      </c>
      <c r="K73" s="202">
        <v>0</v>
      </c>
      <c r="M73" s="254">
        <v>2019</v>
      </c>
      <c r="N73" s="254">
        <v>3680</v>
      </c>
      <c r="O73" s="255" t="s">
        <v>252</v>
      </c>
      <c r="P73" s="254">
        <v>410</v>
      </c>
      <c r="Q73" s="254">
        <v>209</v>
      </c>
      <c r="R73" s="255" t="s">
        <v>37</v>
      </c>
      <c r="S73" s="255" t="s">
        <v>139</v>
      </c>
      <c r="T73" s="265">
        <v>0</v>
      </c>
      <c r="U73" s="265">
        <v>0</v>
      </c>
      <c r="V73" s="265">
        <v>0</v>
      </c>
      <c r="W73" s="265">
        <v>0</v>
      </c>
      <c r="X73" s="265">
        <v>0</v>
      </c>
      <c r="AA73" s="272">
        <v>2019</v>
      </c>
      <c r="AB73" s="272">
        <v>3740</v>
      </c>
      <c r="AC73" s="273" t="s">
        <v>244</v>
      </c>
      <c r="AD73" s="272" t="s">
        <v>292</v>
      </c>
      <c r="AE73" s="272">
        <v>1</v>
      </c>
      <c r="AF73" s="274" t="s">
        <v>293</v>
      </c>
      <c r="AG73" s="275">
        <v>0</v>
      </c>
      <c r="AH73" s="275">
        <v>0</v>
      </c>
      <c r="AI73" s="275">
        <v>0</v>
      </c>
      <c r="AJ73" s="276">
        <v>0</v>
      </c>
    </row>
    <row r="74" spans="1:36" ht="16" customHeight="1">
      <c r="A74">
        <v>2018</v>
      </c>
      <c r="B74">
        <v>3680</v>
      </c>
      <c r="C74" t="s">
        <v>252</v>
      </c>
      <c r="D74" t="s">
        <v>245</v>
      </c>
      <c r="E74" s="203">
        <v>93</v>
      </c>
      <c r="F74" s="203" t="s">
        <v>250</v>
      </c>
      <c r="G74" s="203" t="s">
        <v>247</v>
      </c>
      <c r="H74" s="203" t="s">
        <v>248</v>
      </c>
      <c r="I74" s="202">
        <v>0</v>
      </c>
      <c r="J74" s="202">
        <v>0</v>
      </c>
      <c r="K74" s="202">
        <v>0</v>
      </c>
      <c r="M74" s="254">
        <v>2019</v>
      </c>
      <c r="N74" s="254">
        <v>3680</v>
      </c>
      <c r="O74" s="255" t="s">
        <v>252</v>
      </c>
      <c r="P74" s="254">
        <v>410</v>
      </c>
      <c r="Q74" s="254">
        <v>210</v>
      </c>
      <c r="R74" s="255" t="s">
        <v>37</v>
      </c>
      <c r="S74" s="255" t="s">
        <v>140</v>
      </c>
      <c r="T74" s="265">
        <v>0</v>
      </c>
      <c r="U74" s="265">
        <v>0</v>
      </c>
      <c r="V74" s="265">
        <v>0</v>
      </c>
      <c r="W74" s="265">
        <v>0</v>
      </c>
      <c r="X74" s="265">
        <v>0</v>
      </c>
      <c r="AA74" s="272">
        <v>2019</v>
      </c>
      <c r="AB74" s="272">
        <v>3740</v>
      </c>
      <c r="AC74" s="273" t="s">
        <v>244</v>
      </c>
      <c r="AD74" s="272" t="s">
        <v>292</v>
      </c>
      <c r="AE74" s="272">
        <v>2</v>
      </c>
      <c r="AF74" s="274" t="s">
        <v>294</v>
      </c>
      <c r="AG74" s="275">
        <v>61</v>
      </c>
      <c r="AH74" s="275">
        <v>65</v>
      </c>
      <c r="AI74" s="275">
        <v>207000</v>
      </c>
      <c r="AJ74" s="276">
        <v>3184.6153846153848</v>
      </c>
    </row>
    <row r="75" spans="1:36" ht="16" customHeight="1">
      <c r="A75">
        <v>2018</v>
      </c>
      <c r="B75">
        <v>3680</v>
      </c>
      <c r="C75" t="s">
        <v>252</v>
      </c>
      <c r="D75" t="s">
        <v>245</v>
      </c>
      <c r="E75" s="203">
        <v>94</v>
      </c>
      <c r="F75" s="203" t="s">
        <v>250</v>
      </c>
      <c r="G75" s="203" t="s">
        <v>247</v>
      </c>
      <c r="H75" s="203" t="s">
        <v>249</v>
      </c>
      <c r="I75" s="202">
        <v>0</v>
      </c>
      <c r="J75" s="202">
        <v>0</v>
      </c>
      <c r="K75" s="202">
        <v>0</v>
      </c>
      <c r="M75" s="254">
        <v>2019</v>
      </c>
      <c r="N75" s="254">
        <v>3680</v>
      </c>
      <c r="O75" s="255" t="s">
        <v>252</v>
      </c>
      <c r="P75" s="254">
        <v>410</v>
      </c>
      <c r="Q75" s="254">
        <v>211</v>
      </c>
      <c r="R75" s="255" t="s">
        <v>37</v>
      </c>
      <c r="S75" s="255" t="s">
        <v>141</v>
      </c>
      <c r="T75" s="265">
        <v>0</v>
      </c>
      <c r="U75" s="265">
        <v>0</v>
      </c>
      <c r="V75" s="265">
        <v>12751000</v>
      </c>
      <c r="W75" s="265">
        <v>0</v>
      </c>
      <c r="X75" s="265">
        <v>12751000</v>
      </c>
      <c r="AA75" s="272">
        <v>2019</v>
      </c>
      <c r="AB75" s="272">
        <v>3740</v>
      </c>
      <c r="AC75" s="273" t="s">
        <v>244</v>
      </c>
      <c r="AD75" s="272" t="s">
        <v>292</v>
      </c>
      <c r="AE75" s="272">
        <v>3</v>
      </c>
      <c r="AF75" s="274" t="s">
        <v>295</v>
      </c>
      <c r="AG75" s="275">
        <v>7969</v>
      </c>
      <c r="AH75" s="275">
        <v>7420</v>
      </c>
      <c r="AI75" s="275">
        <v>30459910</v>
      </c>
      <c r="AJ75" s="276">
        <v>4105.1091644204853</v>
      </c>
    </row>
    <row r="76" spans="1:36" ht="16" customHeight="1">
      <c r="A76">
        <v>2018</v>
      </c>
      <c r="B76">
        <v>3680</v>
      </c>
      <c r="C76" t="s">
        <v>252</v>
      </c>
      <c r="D76" t="s">
        <v>245</v>
      </c>
      <c r="E76" s="203">
        <v>97</v>
      </c>
      <c r="F76" s="203" t="s">
        <v>251</v>
      </c>
      <c r="G76" s="203" t="s">
        <v>247</v>
      </c>
      <c r="H76" s="203" t="s">
        <v>248</v>
      </c>
      <c r="I76" s="202">
        <v>0</v>
      </c>
      <c r="J76" s="202">
        <v>0</v>
      </c>
      <c r="K76" s="202">
        <v>0</v>
      </c>
      <c r="M76" s="254">
        <v>2019</v>
      </c>
      <c r="N76" s="254">
        <v>3680</v>
      </c>
      <c r="O76" s="255" t="s">
        <v>252</v>
      </c>
      <c r="P76" s="254">
        <v>410</v>
      </c>
      <c r="Q76" s="254">
        <v>212</v>
      </c>
      <c r="R76" s="255" t="s">
        <v>37</v>
      </c>
      <c r="S76" s="255" t="s">
        <v>142</v>
      </c>
      <c r="T76" s="265">
        <v>0</v>
      </c>
      <c r="U76" s="265">
        <v>0</v>
      </c>
      <c r="V76" s="265">
        <v>-31958000</v>
      </c>
      <c r="W76" s="265">
        <v>0</v>
      </c>
      <c r="X76" s="265">
        <v>-31958000</v>
      </c>
      <c r="AA76" s="272">
        <v>2019</v>
      </c>
      <c r="AB76" s="272">
        <v>3740</v>
      </c>
      <c r="AC76" s="273" t="s">
        <v>244</v>
      </c>
      <c r="AD76" s="272" t="s">
        <v>292</v>
      </c>
      <c r="AE76" s="272">
        <v>4</v>
      </c>
      <c r="AF76" s="274" t="s">
        <v>296</v>
      </c>
      <c r="AG76" s="275">
        <v>213</v>
      </c>
      <c r="AH76" s="275">
        <v>182</v>
      </c>
      <c r="AI76" s="275">
        <v>194200</v>
      </c>
      <c r="AJ76" s="276">
        <v>1067.032967032967</v>
      </c>
    </row>
    <row r="77" spans="1:36" ht="16" customHeight="1">
      <c r="A77">
        <v>2018</v>
      </c>
      <c r="B77">
        <v>3680</v>
      </c>
      <c r="C77" t="s">
        <v>252</v>
      </c>
      <c r="D77" t="s">
        <v>245</v>
      </c>
      <c r="E77" s="203">
        <v>98</v>
      </c>
      <c r="F77" s="203" t="s">
        <v>251</v>
      </c>
      <c r="G77" s="203" t="s">
        <v>247</v>
      </c>
      <c r="H77" s="204" t="s">
        <v>249</v>
      </c>
      <c r="I77" s="202">
        <v>0</v>
      </c>
      <c r="J77" s="202">
        <v>0</v>
      </c>
      <c r="K77" s="202">
        <v>0</v>
      </c>
      <c r="M77" s="254">
        <v>2019</v>
      </c>
      <c r="N77" s="254">
        <v>3680</v>
      </c>
      <c r="O77" s="255" t="s">
        <v>252</v>
      </c>
      <c r="P77" s="254">
        <v>410</v>
      </c>
      <c r="Q77" s="254">
        <v>213</v>
      </c>
      <c r="R77" s="255" t="s">
        <v>37</v>
      </c>
      <c r="S77" s="255" t="s">
        <v>145</v>
      </c>
      <c r="T77" s="265">
        <v>0</v>
      </c>
      <c r="U77" s="265">
        <v>0</v>
      </c>
      <c r="V77" s="265">
        <v>0</v>
      </c>
      <c r="W77" s="265">
        <v>18767000</v>
      </c>
      <c r="X77" s="265">
        <v>18767000</v>
      </c>
      <c r="AA77" s="272">
        <v>2019</v>
      </c>
      <c r="AB77" s="272">
        <v>3740</v>
      </c>
      <c r="AC77" s="273" t="s">
        <v>244</v>
      </c>
      <c r="AD77" s="272" t="s">
        <v>292</v>
      </c>
      <c r="AE77" s="272">
        <v>5</v>
      </c>
      <c r="AF77" s="274" t="s">
        <v>297</v>
      </c>
      <c r="AG77" s="275">
        <v>8243</v>
      </c>
      <c r="AH77" s="275">
        <v>7667</v>
      </c>
      <c r="AI77" s="275">
        <v>30861110</v>
      </c>
      <c r="AJ77" s="276">
        <v>4025.1871657754009</v>
      </c>
    </row>
    <row r="78" spans="1:36" ht="16" customHeight="1">
      <c r="A78">
        <v>2018</v>
      </c>
      <c r="B78">
        <v>3410</v>
      </c>
      <c r="C78" t="s">
        <v>253</v>
      </c>
      <c r="D78" t="s">
        <v>245</v>
      </c>
      <c r="E78" s="203">
        <v>91</v>
      </c>
      <c r="F78" s="203" t="s">
        <v>246</v>
      </c>
      <c r="G78" s="203" t="s">
        <v>247</v>
      </c>
      <c r="H78" s="203" t="s">
        <v>248</v>
      </c>
      <c r="I78" s="202">
        <v>0</v>
      </c>
      <c r="J78" s="202">
        <v>0</v>
      </c>
      <c r="K78" s="202">
        <v>0</v>
      </c>
      <c r="M78" s="254">
        <v>2019</v>
      </c>
      <c r="N78" s="254">
        <v>3680</v>
      </c>
      <c r="O78" s="255" t="s">
        <v>252</v>
      </c>
      <c r="P78" s="254">
        <v>410</v>
      </c>
      <c r="Q78" s="254">
        <v>214</v>
      </c>
      <c r="R78" s="255" t="s">
        <v>37</v>
      </c>
      <c r="S78" s="255" t="s">
        <v>152</v>
      </c>
      <c r="T78" s="265">
        <v>0</v>
      </c>
      <c r="U78" s="265">
        <v>0</v>
      </c>
      <c r="V78" s="265">
        <v>0</v>
      </c>
      <c r="W78" s="265">
        <v>0</v>
      </c>
      <c r="X78" s="265">
        <v>0</v>
      </c>
      <c r="AA78" s="272">
        <v>2019</v>
      </c>
      <c r="AB78" s="272">
        <v>3740</v>
      </c>
      <c r="AC78" s="273" t="s">
        <v>244</v>
      </c>
      <c r="AD78" s="272" t="s">
        <v>292</v>
      </c>
      <c r="AE78" s="272">
        <v>9</v>
      </c>
      <c r="AF78" s="274" t="s">
        <v>298</v>
      </c>
      <c r="AG78" s="275">
        <v>28</v>
      </c>
      <c r="AH78" s="275">
        <v>21</v>
      </c>
      <c r="AI78" s="275">
        <v>0</v>
      </c>
      <c r="AJ78" s="276">
        <v>0</v>
      </c>
    </row>
    <row r="79" spans="1:36" ht="16" customHeight="1">
      <c r="A79">
        <v>2018</v>
      </c>
      <c r="B79">
        <v>3410</v>
      </c>
      <c r="C79" t="s">
        <v>253</v>
      </c>
      <c r="D79" t="s">
        <v>245</v>
      </c>
      <c r="E79" s="203">
        <v>92</v>
      </c>
      <c r="F79" s="203" t="s">
        <v>246</v>
      </c>
      <c r="G79" s="203" t="s">
        <v>247</v>
      </c>
      <c r="H79" s="204" t="s">
        <v>249</v>
      </c>
      <c r="I79" s="202">
        <v>0</v>
      </c>
      <c r="J79" s="202">
        <v>0</v>
      </c>
      <c r="K79" s="202">
        <v>0</v>
      </c>
      <c r="M79" s="254">
        <v>2019</v>
      </c>
      <c r="N79" s="254">
        <v>3680</v>
      </c>
      <c r="O79" s="255" t="s">
        <v>252</v>
      </c>
      <c r="P79" s="254">
        <v>410</v>
      </c>
      <c r="Q79" s="254">
        <v>215</v>
      </c>
      <c r="R79" s="255" t="s">
        <v>37</v>
      </c>
      <c r="S79" s="255" t="s">
        <v>153</v>
      </c>
      <c r="T79" s="265">
        <v>0</v>
      </c>
      <c r="U79" s="265">
        <v>0</v>
      </c>
      <c r="V79" s="265">
        <v>0</v>
      </c>
      <c r="W79" s="265">
        <v>0</v>
      </c>
      <c r="X79" s="265">
        <v>0</v>
      </c>
      <c r="AA79" s="272">
        <v>2019</v>
      </c>
      <c r="AB79" s="272">
        <v>3740</v>
      </c>
      <c r="AC79" s="273" t="s">
        <v>244</v>
      </c>
      <c r="AD79" s="272" t="s">
        <v>292</v>
      </c>
      <c r="AE79" s="272">
        <v>10</v>
      </c>
      <c r="AF79" s="274" t="s">
        <v>299</v>
      </c>
      <c r="AG79" s="275">
        <v>8271</v>
      </c>
      <c r="AH79" s="275">
        <v>7688</v>
      </c>
      <c r="AI79" s="275">
        <v>0</v>
      </c>
      <c r="AJ79" s="276">
        <v>0</v>
      </c>
    </row>
    <row r="80" spans="1:36" ht="16" customHeight="1">
      <c r="A80">
        <v>2018</v>
      </c>
      <c r="B80">
        <v>3410</v>
      </c>
      <c r="C80" t="s">
        <v>253</v>
      </c>
      <c r="D80" t="s">
        <v>245</v>
      </c>
      <c r="E80" s="203">
        <v>93</v>
      </c>
      <c r="F80" s="203" t="s">
        <v>250</v>
      </c>
      <c r="G80" s="203" t="s">
        <v>247</v>
      </c>
      <c r="H80" s="203" t="s">
        <v>248</v>
      </c>
      <c r="I80" s="202">
        <v>0</v>
      </c>
      <c r="J80" s="202">
        <v>0</v>
      </c>
      <c r="K80" s="202">
        <v>0</v>
      </c>
      <c r="M80" s="254">
        <v>2019</v>
      </c>
      <c r="N80" s="254">
        <v>3680</v>
      </c>
      <c r="O80" s="255" t="s">
        <v>252</v>
      </c>
      <c r="P80" s="254">
        <v>410</v>
      </c>
      <c r="Q80" s="254">
        <v>216</v>
      </c>
      <c r="R80" s="255" t="s">
        <v>37</v>
      </c>
      <c r="S80" s="255" t="s">
        <v>202</v>
      </c>
      <c r="T80" s="265">
        <v>0</v>
      </c>
      <c r="U80" s="265">
        <v>0</v>
      </c>
      <c r="V80" s="265">
        <v>-8188000</v>
      </c>
      <c r="W80" s="265">
        <v>0</v>
      </c>
      <c r="X80" s="265">
        <v>-8188000</v>
      </c>
    </row>
    <row r="81" spans="1:33" ht="16" customHeight="1">
      <c r="A81">
        <v>2018</v>
      </c>
      <c r="B81">
        <v>3410</v>
      </c>
      <c r="C81" t="s">
        <v>253</v>
      </c>
      <c r="D81" t="s">
        <v>245</v>
      </c>
      <c r="E81" s="203">
        <v>94</v>
      </c>
      <c r="F81" s="203" t="s">
        <v>250</v>
      </c>
      <c r="G81" s="203" t="s">
        <v>247</v>
      </c>
      <c r="H81" s="204" t="s">
        <v>249</v>
      </c>
      <c r="I81" s="202">
        <v>0</v>
      </c>
      <c r="J81" s="202">
        <v>0</v>
      </c>
      <c r="K81" s="202">
        <v>0</v>
      </c>
      <c r="M81" s="254">
        <v>2019</v>
      </c>
      <c r="N81" s="254">
        <v>3680</v>
      </c>
      <c r="O81" s="255" t="s">
        <v>252</v>
      </c>
      <c r="P81" s="254">
        <v>410</v>
      </c>
      <c r="Q81" s="254">
        <v>217</v>
      </c>
      <c r="R81" s="255" t="s">
        <v>37</v>
      </c>
      <c r="S81" s="255" t="s">
        <v>156</v>
      </c>
      <c r="T81" s="265">
        <v>0</v>
      </c>
      <c r="U81" s="265">
        <v>0</v>
      </c>
      <c r="V81" s="265">
        <v>0</v>
      </c>
      <c r="W81" s="265">
        <v>0</v>
      </c>
      <c r="X81" s="265">
        <v>0</v>
      </c>
      <c r="AA81" s="297" t="s">
        <v>2</v>
      </c>
      <c r="AB81" s="297" t="s">
        <v>313</v>
      </c>
      <c r="AC81" s="298" t="s">
        <v>267</v>
      </c>
      <c r="AD81" s="297" t="s">
        <v>314</v>
      </c>
      <c r="AE81" s="297" t="s">
        <v>99</v>
      </c>
      <c r="AF81" s="298" t="s">
        <v>315</v>
      </c>
      <c r="AG81" s="297" t="s">
        <v>316</v>
      </c>
    </row>
    <row r="82" spans="1:33" ht="16" customHeight="1">
      <c r="A82">
        <v>2018</v>
      </c>
      <c r="B82">
        <v>3410</v>
      </c>
      <c r="C82" t="s">
        <v>253</v>
      </c>
      <c r="D82" t="s">
        <v>245</v>
      </c>
      <c r="E82" s="203">
        <v>97</v>
      </c>
      <c r="F82" s="203" t="s">
        <v>251</v>
      </c>
      <c r="G82" s="203" t="s">
        <v>247</v>
      </c>
      <c r="H82" s="203" t="s">
        <v>248</v>
      </c>
      <c r="I82" s="202">
        <v>0</v>
      </c>
      <c r="J82" s="202">
        <v>0</v>
      </c>
      <c r="K82" s="202">
        <v>0</v>
      </c>
      <c r="M82" s="254">
        <v>2019</v>
      </c>
      <c r="N82" s="254">
        <v>3680</v>
      </c>
      <c r="O82" s="255" t="s">
        <v>252</v>
      </c>
      <c r="P82" s="254">
        <v>410</v>
      </c>
      <c r="Q82" s="254">
        <v>218</v>
      </c>
      <c r="R82" s="255" t="s">
        <v>37</v>
      </c>
      <c r="S82" s="255" t="s">
        <v>158</v>
      </c>
      <c r="T82" s="265">
        <v>0</v>
      </c>
      <c r="U82" s="265">
        <v>0</v>
      </c>
      <c r="V82" s="265">
        <v>0</v>
      </c>
      <c r="W82" s="265">
        <v>0</v>
      </c>
      <c r="X82" s="265">
        <v>0</v>
      </c>
      <c r="AA82" s="292">
        <v>2019</v>
      </c>
      <c r="AB82" s="292">
        <v>1370</v>
      </c>
      <c r="AC82" s="293" t="s">
        <v>255</v>
      </c>
      <c r="AD82" s="292">
        <v>750</v>
      </c>
      <c r="AE82" s="292">
        <v>1</v>
      </c>
      <c r="AF82" s="294" t="s">
        <v>306</v>
      </c>
      <c r="AG82" s="295">
        <v>114321967</v>
      </c>
    </row>
    <row r="83" spans="1:33" ht="16" customHeight="1">
      <c r="A83">
        <v>2018</v>
      </c>
      <c r="B83">
        <v>3410</v>
      </c>
      <c r="C83" t="s">
        <v>253</v>
      </c>
      <c r="D83" t="s">
        <v>245</v>
      </c>
      <c r="E83" s="203">
        <v>98</v>
      </c>
      <c r="F83" s="203" t="s">
        <v>251</v>
      </c>
      <c r="G83" s="203" t="s">
        <v>247</v>
      </c>
      <c r="H83" s="204" t="s">
        <v>249</v>
      </c>
      <c r="I83" s="202">
        <v>0</v>
      </c>
      <c r="J83" s="202">
        <v>0</v>
      </c>
      <c r="K83" s="202">
        <v>0</v>
      </c>
      <c r="M83" s="254">
        <v>2019</v>
      </c>
      <c r="N83" s="254">
        <v>3410</v>
      </c>
      <c r="O83" s="255" t="s">
        <v>253</v>
      </c>
      <c r="P83" s="254">
        <v>410</v>
      </c>
      <c r="Q83" s="254">
        <v>201</v>
      </c>
      <c r="R83" s="255" t="s">
        <v>37</v>
      </c>
      <c r="S83" s="255" t="s">
        <v>203</v>
      </c>
      <c r="T83" s="265">
        <v>1214000</v>
      </c>
      <c r="U83" s="265">
        <v>258000</v>
      </c>
      <c r="V83" s="265">
        <v>1995000</v>
      </c>
      <c r="W83" s="265">
        <v>162000</v>
      </c>
      <c r="X83" s="265">
        <v>3629000</v>
      </c>
      <c r="AA83" s="292">
        <v>2019</v>
      </c>
      <c r="AB83" s="292">
        <v>1370</v>
      </c>
      <c r="AC83" s="293" t="s">
        <v>255</v>
      </c>
      <c r="AD83" s="292">
        <v>750</v>
      </c>
      <c r="AE83" s="292">
        <v>2</v>
      </c>
      <c r="AF83" s="294" t="s">
        <v>307</v>
      </c>
      <c r="AG83" s="295">
        <v>0</v>
      </c>
    </row>
    <row r="84" spans="1:33" ht="16" customHeight="1">
      <c r="A84">
        <v>2018</v>
      </c>
      <c r="B84">
        <v>3050</v>
      </c>
      <c r="C84" t="s">
        <v>254</v>
      </c>
      <c r="D84" t="s">
        <v>245</v>
      </c>
      <c r="E84" s="203">
        <v>91</v>
      </c>
      <c r="F84" s="203" t="s">
        <v>246</v>
      </c>
      <c r="G84" s="203" t="s">
        <v>247</v>
      </c>
      <c r="H84" s="203" t="s">
        <v>248</v>
      </c>
      <c r="I84" s="202">
        <v>0</v>
      </c>
      <c r="J84" s="202">
        <v>0</v>
      </c>
      <c r="K84" s="202">
        <v>0</v>
      </c>
      <c r="M84" s="254">
        <v>2019</v>
      </c>
      <c r="N84" s="254">
        <v>3410</v>
      </c>
      <c r="O84" s="255" t="s">
        <v>253</v>
      </c>
      <c r="P84" s="254">
        <v>410</v>
      </c>
      <c r="Q84" s="254">
        <v>202</v>
      </c>
      <c r="R84" s="255" t="s">
        <v>37</v>
      </c>
      <c r="S84" s="255" t="s">
        <v>197</v>
      </c>
      <c r="T84" s="265">
        <v>10544000</v>
      </c>
      <c r="U84" s="265">
        <v>22542000</v>
      </c>
      <c r="V84" s="265">
        <v>7834000</v>
      </c>
      <c r="W84" s="265">
        <v>78000</v>
      </c>
      <c r="X84" s="265">
        <v>40998000</v>
      </c>
      <c r="AA84" s="292">
        <v>2019</v>
      </c>
      <c r="AB84" s="292">
        <v>1370</v>
      </c>
      <c r="AC84" s="293" t="s">
        <v>255</v>
      </c>
      <c r="AD84" s="292">
        <v>750</v>
      </c>
      <c r="AE84" s="292">
        <v>3</v>
      </c>
      <c r="AF84" s="294" t="s">
        <v>308</v>
      </c>
      <c r="AG84" s="295">
        <v>7063479</v>
      </c>
    </row>
    <row r="85" spans="1:33" ht="16" customHeight="1">
      <c r="A85">
        <v>2018</v>
      </c>
      <c r="B85">
        <v>3050</v>
      </c>
      <c r="C85" t="s">
        <v>254</v>
      </c>
      <c r="D85" t="s">
        <v>245</v>
      </c>
      <c r="E85" s="203">
        <v>92</v>
      </c>
      <c r="F85" s="203" t="s">
        <v>246</v>
      </c>
      <c r="G85" s="203" t="s">
        <v>247</v>
      </c>
      <c r="H85" s="204" t="s">
        <v>249</v>
      </c>
      <c r="I85" s="202">
        <v>0</v>
      </c>
      <c r="J85" s="202">
        <v>0</v>
      </c>
      <c r="K85" s="202">
        <v>0</v>
      </c>
      <c r="M85" s="254">
        <v>2019</v>
      </c>
      <c r="N85" s="254">
        <v>3410</v>
      </c>
      <c r="O85" s="255" t="s">
        <v>253</v>
      </c>
      <c r="P85" s="254">
        <v>410</v>
      </c>
      <c r="Q85" s="254">
        <v>203</v>
      </c>
      <c r="R85" s="255" t="s">
        <v>37</v>
      </c>
      <c r="S85" s="255" t="s">
        <v>198</v>
      </c>
      <c r="T85" s="265">
        <v>0</v>
      </c>
      <c r="U85" s="265">
        <v>0</v>
      </c>
      <c r="V85" s="265">
        <v>0</v>
      </c>
      <c r="W85" s="265">
        <v>0</v>
      </c>
      <c r="X85" s="265">
        <v>0</v>
      </c>
      <c r="AA85" s="292">
        <v>2019</v>
      </c>
      <c r="AB85" s="292">
        <v>1370</v>
      </c>
      <c r="AC85" s="293" t="s">
        <v>255</v>
      </c>
      <c r="AD85" s="292">
        <v>750</v>
      </c>
      <c r="AE85" s="292">
        <v>4</v>
      </c>
      <c r="AF85" s="294" t="s">
        <v>283</v>
      </c>
      <c r="AG85" s="295">
        <v>121385446</v>
      </c>
    </row>
    <row r="86" spans="1:33" ht="16" customHeight="1">
      <c r="A86">
        <v>2018</v>
      </c>
      <c r="B86">
        <v>3050</v>
      </c>
      <c r="C86" t="s">
        <v>254</v>
      </c>
      <c r="D86" t="s">
        <v>245</v>
      </c>
      <c r="E86" s="203">
        <v>93</v>
      </c>
      <c r="F86" s="203" t="s">
        <v>250</v>
      </c>
      <c r="G86" s="203" t="s">
        <v>247</v>
      </c>
      <c r="H86" s="203" t="s">
        <v>248</v>
      </c>
      <c r="I86" s="202">
        <v>1161</v>
      </c>
      <c r="J86" s="202">
        <v>38442</v>
      </c>
      <c r="K86" s="202">
        <v>102812000</v>
      </c>
      <c r="M86" s="254">
        <v>2019</v>
      </c>
      <c r="N86" s="254">
        <v>3410</v>
      </c>
      <c r="O86" s="255" t="s">
        <v>253</v>
      </c>
      <c r="P86" s="254">
        <v>410</v>
      </c>
      <c r="Q86" s="254">
        <v>204</v>
      </c>
      <c r="R86" s="255" t="s">
        <v>37</v>
      </c>
      <c r="S86" s="255" t="s">
        <v>199</v>
      </c>
      <c r="T86" s="265">
        <v>0</v>
      </c>
      <c r="U86" s="265">
        <v>0</v>
      </c>
      <c r="V86" s="265">
        <v>420000</v>
      </c>
      <c r="W86" s="265">
        <v>0</v>
      </c>
      <c r="X86" s="265">
        <v>420000</v>
      </c>
      <c r="AA86" s="292">
        <v>2019</v>
      </c>
      <c r="AB86" s="292">
        <v>1370</v>
      </c>
      <c r="AC86" s="293" t="s">
        <v>255</v>
      </c>
      <c r="AD86" s="292">
        <v>750</v>
      </c>
      <c r="AE86" s="292">
        <v>5</v>
      </c>
      <c r="AF86" s="294" t="s">
        <v>309</v>
      </c>
      <c r="AG86" s="295">
        <v>251591000</v>
      </c>
    </row>
    <row r="87" spans="1:33" ht="16" customHeight="1">
      <c r="A87">
        <v>2018</v>
      </c>
      <c r="B87">
        <v>3050</v>
      </c>
      <c r="C87" t="s">
        <v>254</v>
      </c>
      <c r="D87" t="s">
        <v>245</v>
      </c>
      <c r="E87" s="203">
        <v>94</v>
      </c>
      <c r="F87" s="203" t="s">
        <v>250</v>
      </c>
      <c r="G87" s="203" t="s">
        <v>247</v>
      </c>
      <c r="H87" s="204" t="s">
        <v>249</v>
      </c>
      <c r="I87" s="202">
        <v>0</v>
      </c>
      <c r="J87" s="202">
        <v>0</v>
      </c>
      <c r="K87" s="202">
        <v>0</v>
      </c>
      <c r="M87" s="254">
        <v>2019</v>
      </c>
      <c r="N87" s="254">
        <v>3410</v>
      </c>
      <c r="O87" s="255" t="s">
        <v>253</v>
      </c>
      <c r="P87" s="254">
        <v>410</v>
      </c>
      <c r="Q87" s="254">
        <v>205</v>
      </c>
      <c r="R87" s="255" t="s">
        <v>37</v>
      </c>
      <c r="S87" s="255" t="s">
        <v>200</v>
      </c>
      <c r="T87" s="265">
        <v>0</v>
      </c>
      <c r="U87" s="265">
        <v>0</v>
      </c>
      <c r="V87" s="265">
        <v>0</v>
      </c>
      <c r="W87" s="265">
        <v>4061000</v>
      </c>
      <c r="X87" s="265">
        <v>4061000</v>
      </c>
      <c r="AA87" s="292">
        <v>2019</v>
      </c>
      <c r="AB87" s="292">
        <v>1370</v>
      </c>
      <c r="AC87" s="293" t="s">
        <v>255</v>
      </c>
      <c r="AD87" s="292">
        <v>750</v>
      </c>
      <c r="AE87" s="292">
        <v>6</v>
      </c>
      <c r="AF87" s="294" t="s">
        <v>310</v>
      </c>
      <c r="AG87" s="295">
        <v>497657</v>
      </c>
    </row>
    <row r="88" spans="1:33" ht="16" customHeight="1">
      <c r="A88">
        <v>2018</v>
      </c>
      <c r="B88">
        <v>3050</v>
      </c>
      <c r="C88" t="s">
        <v>254</v>
      </c>
      <c r="D88" t="s">
        <v>245</v>
      </c>
      <c r="E88" s="203">
        <v>97</v>
      </c>
      <c r="F88" s="203" t="s">
        <v>251</v>
      </c>
      <c r="G88" s="203" t="s">
        <v>247</v>
      </c>
      <c r="H88" s="203" t="s">
        <v>248</v>
      </c>
      <c r="I88" s="202">
        <v>0</v>
      </c>
      <c r="J88" s="202">
        <v>0</v>
      </c>
      <c r="K88" s="202">
        <v>0</v>
      </c>
      <c r="M88" s="254">
        <v>2019</v>
      </c>
      <c r="N88" s="254">
        <v>3410</v>
      </c>
      <c r="O88" s="255" t="s">
        <v>253</v>
      </c>
      <c r="P88" s="254">
        <v>410</v>
      </c>
      <c r="Q88" s="254">
        <v>206</v>
      </c>
      <c r="R88" s="255" t="s">
        <v>37</v>
      </c>
      <c r="S88" s="255" t="s">
        <v>201</v>
      </c>
      <c r="T88" s="265">
        <v>0</v>
      </c>
      <c r="U88" s="265">
        <v>0</v>
      </c>
      <c r="V88" s="265">
        <v>0</v>
      </c>
      <c r="W88" s="265">
        <v>2464000</v>
      </c>
      <c r="X88" s="265">
        <v>2464000</v>
      </c>
      <c r="AA88" s="292">
        <v>2019</v>
      </c>
      <c r="AB88" s="292">
        <v>1550</v>
      </c>
      <c r="AC88" s="293" t="s">
        <v>258</v>
      </c>
      <c r="AD88" s="292">
        <v>750</v>
      </c>
      <c r="AE88" s="292">
        <v>1</v>
      </c>
      <c r="AF88" s="294" t="s">
        <v>306</v>
      </c>
      <c r="AG88" s="295">
        <v>417609465</v>
      </c>
    </row>
    <row r="89" spans="1:33" ht="16" customHeight="1">
      <c r="A89">
        <v>2018</v>
      </c>
      <c r="B89">
        <v>3050</v>
      </c>
      <c r="C89" t="s">
        <v>254</v>
      </c>
      <c r="D89" t="s">
        <v>245</v>
      </c>
      <c r="E89" s="203">
        <v>98</v>
      </c>
      <c r="F89" s="203" t="s">
        <v>251</v>
      </c>
      <c r="G89" s="203" t="s">
        <v>247</v>
      </c>
      <c r="H89" s="204" t="s">
        <v>249</v>
      </c>
      <c r="I89" s="202">
        <v>0</v>
      </c>
      <c r="J89" s="202">
        <v>0</v>
      </c>
      <c r="K89" s="202">
        <v>0</v>
      </c>
      <c r="M89" s="254">
        <v>2019</v>
      </c>
      <c r="N89" s="254">
        <v>3410</v>
      </c>
      <c r="O89" s="255" t="s">
        <v>253</v>
      </c>
      <c r="P89" s="254">
        <v>410</v>
      </c>
      <c r="Q89" s="254">
        <v>207</v>
      </c>
      <c r="R89" s="255" t="s">
        <v>37</v>
      </c>
      <c r="S89" s="255" t="s">
        <v>137</v>
      </c>
      <c r="T89" s="265">
        <v>0</v>
      </c>
      <c r="U89" s="265">
        <v>0</v>
      </c>
      <c r="V89" s="265">
        <v>12203000</v>
      </c>
      <c r="W89" s="265">
        <v>0</v>
      </c>
      <c r="X89" s="265">
        <v>12203000</v>
      </c>
      <c r="AA89" s="292">
        <v>2019</v>
      </c>
      <c r="AB89" s="292">
        <v>1550</v>
      </c>
      <c r="AC89" s="293" t="s">
        <v>258</v>
      </c>
      <c r="AD89" s="292">
        <v>750</v>
      </c>
      <c r="AE89" s="292">
        <v>2</v>
      </c>
      <c r="AF89" s="294" t="s">
        <v>307</v>
      </c>
      <c r="AG89" s="295">
        <v>0</v>
      </c>
    </row>
    <row r="90" spans="1:33" ht="16" customHeight="1">
      <c r="A90">
        <v>2018</v>
      </c>
      <c r="B90">
        <v>1370</v>
      </c>
      <c r="C90" t="s">
        <v>255</v>
      </c>
      <c r="D90" t="s">
        <v>245</v>
      </c>
      <c r="E90" s="203">
        <v>91</v>
      </c>
      <c r="F90" s="203" t="s">
        <v>246</v>
      </c>
      <c r="G90" s="203" t="s">
        <v>247</v>
      </c>
      <c r="H90" s="203" t="s">
        <v>248</v>
      </c>
      <c r="I90" s="202">
        <v>65</v>
      </c>
      <c r="J90" s="202">
        <v>13620</v>
      </c>
      <c r="K90" s="202">
        <v>171463000</v>
      </c>
      <c r="M90" s="254">
        <v>2019</v>
      </c>
      <c r="N90" s="254">
        <v>3410</v>
      </c>
      <c r="O90" s="255" t="s">
        <v>253</v>
      </c>
      <c r="P90" s="254">
        <v>410</v>
      </c>
      <c r="Q90" s="254">
        <v>208</v>
      </c>
      <c r="R90" s="255" t="s">
        <v>37</v>
      </c>
      <c r="S90" s="255" t="s">
        <v>138</v>
      </c>
      <c r="T90" s="265">
        <v>0</v>
      </c>
      <c r="U90" s="265">
        <v>0</v>
      </c>
      <c r="V90" s="265">
        <v>0</v>
      </c>
      <c r="W90" s="265">
        <v>0</v>
      </c>
      <c r="X90" s="265">
        <v>0</v>
      </c>
      <c r="AA90" s="292">
        <v>2019</v>
      </c>
      <c r="AB90" s="292">
        <v>1550</v>
      </c>
      <c r="AC90" s="293" t="s">
        <v>258</v>
      </c>
      <c r="AD90" s="292">
        <v>750</v>
      </c>
      <c r="AE90" s="292">
        <v>3</v>
      </c>
      <c r="AF90" s="294" t="s">
        <v>308</v>
      </c>
      <c r="AG90" s="295">
        <v>32991023</v>
      </c>
    </row>
    <row r="91" spans="1:33" ht="16" customHeight="1">
      <c r="A91">
        <v>2018</v>
      </c>
      <c r="B91">
        <v>1370</v>
      </c>
      <c r="C91" t="s">
        <v>255</v>
      </c>
      <c r="D91" t="s">
        <v>245</v>
      </c>
      <c r="E91" s="203">
        <v>92</v>
      </c>
      <c r="F91" s="203" t="s">
        <v>246</v>
      </c>
      <c r="G91" s="203" t="s">
        <v>247</v>
      </c>
      <c r="H91" s="204" t="s">
        <v>249</v>
      </c>
      <c r="I91" s="202">
        <v>0</v>
      </c>
      <c r="J91" s="202">
        <v>0</v>
      </c>
      <c r="K91" s="202">
        <v>0</v>
      </c>
      <c r="M91" s="254">
        <v>2019</v>
      </c>
      <c r="N91" s="254">
        <v>3410</v>
      </c>
      <c r="O91" s="255" t="s">
        <v>253</v>
      </c>
      <c r="P91" s="254">
        <v>410</v>
      </c>
      <c r="Q91" s="254">
        <v>209</v>
      </c>
      <c r="R91" s="255" t="s">
        <v>37</v>
      </c>
      <c r="S91" s="255" t="s">
        <v>139</v>
      </c>
      <c r="T91" s="265">
        <v>0</v>
      </c>
      <c r="U91" s="265">
        <v>0</v>
      </c>
      <c r="V91" s="265">
        <v>0</v>
      </c>
      <c r="W91" s="265">
        <v>0</v>
      </c>
      <c r="X91" s="265">
        <v>0</v>
      </c>
      <c r="AA91" s="292">
        <v>2019</v>
      </c>
      <c r="AB91" s="292">
        <v>1550</v>
      </c>
      <c r="AC91" s="293" t="s">
        <v>258</v>
      </c>
      <c r="AD91" s="292">
        <v>750</v>
      </c>
      <c r="AE91" s="292">
        <v>4</v>
      </c>
      <c r="AF91" s="294" t="s">
        <v>283</v>
      </c>
      <c r="AG91" s="295">
        <v>450600488</v>
      </c>
    </row>
    <row r="92" spans="1:33" ht="16" customHeight="1">
      <c r="A92">
        <v>2018</v>
      </c>
      <c r="B92">
        <v>1370</v>
      </c>
      <c r="C92" t="s">
        <v>255</v>
      </c>
      <c r="D92" t="s">
        <v>245</v>
      </c>
      <c r="E92" s="203">
        <v>93</v>
      </c>
      <c r="F92" s="203" t="s">
        <v>250</v>
      </c>
      <c r="G92" s="203" t="s">
        <v>247</v>
      </c>
      <c r="H92" s="203" t="s">
        <v>248</v>
      </c>
      <c r="I92" s="202">
        <v>0</v>
      </c>
      <c r="J92" s="202">
        <v>0</v>
      </c>
      <c r="K92" s="202">
        <v>0</v>
      </c>
      <c r="M92" s="254">
        <v>2019</v>
      </c>
      <c r="N92" s="254">
        <v>3410</v>
      </c>
      <c r="O92" s="255" t="s">
        <v>253</v>
      </c>
      <c r="P92" s="254">
        <v>410</v>
      </c>
      <c r="Q92" s="254">
        <v>210</v>
      </c>
      <c r="R92" s="255" t="s">
        <v>37</v>
      </c>
      <c r="S92" s="255" t="s">
        <v>140</v>
      </c>
      <c r="T92" s="265">
        <v>0</v>
      </c>
      <c r="U92" s="265">
        <v>0</v>
      </c>
      <c r="V92" s="265">
        <v>0</v>
      </c>
      <c r="W92" s="265">
        <v>0</v>
      </c>
      <c r="X92" s="265">
        <v>0</v>
      </c>
      <c r="AA92" s="292">
        <v>2019</v>
      </c>
      <c r="AB92" s="292">
        <v>1550</v>
      </c>
      <c r="AC92" s="293" t="s">
        <v>258</v>
      </c>
      <c r="AD92" s="292">
        <v>750</v>
      </c>
      <c r="AE92" s="292">
        <v>5</v>
      </c>
      <c r="AF92" s="294" t="s">
        <v>309</v>
      </c>
      <c r="AG92" s="295">
        <v>900135000</v>
      </c>
    </row>
    <row r="93" spans="1:33" ht="16" customHeight="1">
      <c r="A93">
        <v>2018</v>
      </c>
      <c r="B93">
        <v>1370</v>
      </c>
      <c r="C93" t="s">
        <v>255</v>
      </c>
      <c r="D93" t="s">
        <v>245</v>
      </c>
      <c r="E93" s="203">
        <v>94</v>
      </c>
      <c r="F93" s="203" t="s">
        <v>250</v>
      </c>
      <c r="G93" s="203" t="s">
        <v>247</v>
      </c>
      <c r="H93" s="204" t="s">
        <v>249</v>
      </c>
      <c r="I93" s="202">
        <v>0</v>
      </c>
      <c r="J93" s="202">
        <v>0</v>
      </c>
      <c r="K93" s="202">
        <v>0</v>
      </c>
      <c r="M93" s="254">
        <v>2019</v>
      </c>
      <c r="N93" s="254">
        <v>3410</v>
      </c>
      <c r="O93" s="255" t="s">
        <v>253</v>
      </c>
      <c r="P93" s="254">
        <v>410</v>
      </c>
      <c r="Q93" s="254">
        <v>211</v>
      </c>
      <c r="R93" s="255" t="s">
        <v>37</v>
      </c>
      <c r="S93" s="255" t="s">
        <v>141</v>
      </c>
      <c r="T93" s="265">
        <v>0</v>
      </c>
      <c r="U93" s="265">
        <v>0</v>
      </c>
      <c r="V93" s="265">
        <v>0</v>
      </c>
      <c r="W93" s="265">
        <v>0</v>
      </c>
      <c r="X93" s="265">
        <v>0</v>
      </c>
      <c r="AA93" s="292">
        <v>2019</v>
      </c>
      <c r="AB93" s="292">
        <v>1550</v>
      </c>
      <c r="AC93" s="293" t="s">
        <v>258</v>
      </c>
      <c r="AD93" s="292">
        <v>750</v>
      </c>
      <c r="AE93" s="292">
        <v>6</v>
      </c>
      <c r="AF93" s="294" t="s">
        <v>310</v>
      </c>
      <c r="AG93" s="295">
        <v>3047172</v>
      </c>
    </row>
    <row r="94" spans="1:33" ht="16" customHeight="1">
      <c r="A94">
        <v>2018</v>
      </c>
      <c r="B94">
        <v>1370</v>
      </c>
      <c r="C94" t="s">
        <v>255</v>
      </c>
      <c r="D94" t="s">
        <v>245</v>
      </c>
      <c r="E94" s="203">
        <v>95</v>
      </c>
      <c r="F94" s="203" t="s">
        <v>251</v>
      </c>
      <c r="G94" s="203" t="s">
        <v>247</v>
      </c>
      <c r="H94" s="203" t="s">
        <v>248</v>
      </c>
      <c r="I94" s="202">
        <v>0</v>
      </c>
      <c r="J94" s="202">
        <v>0</v>
      </c>
      <c r="K94" s="202">
        <v>0</v>
      </c>
      <c r="M94" s="254">
        <v>2019</v>
      </c>
      <c r="N94" s="254">
        <v>3410</v>
      </c>
      <c r="O94" s="255" t="s">
        <v>253</v>
      </c>
      <c r="P94" s="254">
        <v>410</v>
      </c>
      <c r="Q94" s="254">
        <v>212</v>
      </c>
      <c r="R94" s="255" t="s">
        <v>37</v>
      </c>
      <c r="S94" s="255" t="s">
        <v>142</v>
      </c>
      <c r="T94" s="265">
        <v>0</v>
      </c>
      <c r="U94" s="265">
        <v>0</v>
      </c>
      <c r="V94" s="265">
        <v>-6120000</v>
      </c>
      <c r="W94" s="265">
        <v>0</v>
      </c>
      <c r="X94" s="265">
        <v>-6120000</v>
      </c>
      <c r="AA94" s="292">
        <v>2019</v>
      </c>
      <c r="AB94" s="292">
        <v>2670</v>
      </c>
      <c r="AC94" s="293" t="s">
        <v>257</v>
      </c>
      <c r="AD94" s="292">
        <v>750</v>
      </c>
      <c r="AE94" s="292">
        <v>1</v>
      </c>
      <c r="AF94" s="294" t="s">
        <v>306</v>
      </c>
      <c r="AG94" s="295">
        <v>372199713</v>
      </c>
    </row>
    <row r="95" spans="1:33" ht="16" customHeight="1">
      <c r="A95">
        <v>2018</v>
      </c>
      <c r="B95">
        <v>1370</v>
      </c>
      <c r="C95" t="s">
        <v>255</v>
      </c>
      <c r="D95" t="s">
        <v>245</v>
      </c>
      <c r="E95" s="203">
        <v>96</v>
      </c>
      <c r="F95" s="203" t="s">
        <v>251</v>
      </c>
      <c r="G95" s="203" t="s">
        <v>247</v>
      </c>
      <c r="H95" s="204" t="s">
        <v>249</v>
      </c>
      <c r="I95" s="202">
        <v>0</v>
      </c>
      <c r="J95" s="202">
        <v>0</v>
      </c>
      <c r="K95" s="202">
        <v>0</v>
      </c>
      <c r="M95" s="254">
        <v>2019</v>
      </c>
      <c r="N95" s="254">
        <v>3410</v>
      </c>
      <c r="O95" s="255" t="s">
        <v>253</v>
      </c>
      <c r="P95" s="254">
        <v>410</v>
      </c>
      <c r="Q95" s="254">
        <v>213</v>
      </c>
      <c r="R95" s="255" t="s">
        <v>37</v>
      </c>
      <c r="S95" s="255" t="s">
        <v>145</v>
      </c>
      <c r="T95" s="265">
        <v>0</v>
      </c>
      <c r="U95" s="265">
        <v>0</v>
      </c>
      <c r="V95" s="265">
        <v>0</v>
      </c>
      <c r="W95" s="265">
        <v>43094000</v>
      </c>
      <c r="X95" s="265">
        <v>43094000</v>
      </c>
      <c r="AA95" s="292">
        <v>2019</v>
      </c>
      <c r="AB95" s="292">
        <v>2670</v>
      </c>
      <c r="AC95" s="293" t="s">
        <v>257</v>
      </c>
      <c r="AD95" s="292">
        <v>750</v>
      </c>
      <c r="AE95" s="292">
        <v>2</v>
      </c>
      <c r="AF95" s="294" t="s">
        <v>307</v>
      </c>
      <c r="AG95" s="295">
        <v>0</v>
      </c>
    </row>
    <row r="96" spans="1:33" ht="16" customHeight="1">
      <c r="A96">
        <v>2018</v>
      </c>
      <c r="B96">
        <v>2670</v>
      </c>
      <c r="C96" t="s">
        <v>257</v>
      </c>
      <c r="D96" t="s">
        <v>245</v>
      </c>
      <c r="E96" s="203">
        <v>91</v>
      </c>
      <c r="F96" s="203" t="s">
        <v>246</v>
      </c>
      <c r="G96" s="203" t="s">
        <v>247</v>
      </c>
      <c r="H96" s="203" t="s">
        <v>248</v>
      </c>
      <c r="I96" s="202">
        <v>0</v>
      </c>
      <c r="J96" s="202">
        <v>0</v>
      </c>
      <c r="K96" s="202">
        <v>0</v>
      </c>
      <c r="M96" s="254">
        <v>2019</v>
      </c>
      <c r="N96" s="254">
        <v>3410</v>
      </c>
      <c r="O96" s="255" t="s">
        <v>253</v>
      </c>
      <c r="P96" s="254">
        <v>410</v>
      </c>
      <c r="Q96" s="254">
        <v>214</v>
      </c>
      <c r="R96" s="255" t="s">
        <v>37</v>
      </c>
      <c r="S96" s="255" t="s">
        <v>152</v>
      </c>
      <c r="T96" s="265">
        <v>0</v>
      </c>
      <c r="U96" s="265">
        <v>0</v>
      </c>
      <c r="V96" s="265">
        <v>16000</v>
      </c>
      <c r="W96" s="265">
        <v>0</v>
      </c>
      <c r="X96" s="265">
        <v>16000</v>
      </c>
      <c r="AA96" s="292">
        <v>2019</v>
      </c>
      <c r="AB96" s="292">
        <v>2670</v>
      </c>
      <c r="AC96" s="293" t="s">
        <v>257</v>
      </c>
      <c r="AD96" s="292">
        <v>750</v>
      </c>
      <c r="AE96" s="292">
        <v>3</v>
      </c>
      <c r="AF96" s="294" t="s">
        <v>308</v>
      </c>
      <c r="AG96" s="295">
        <v>19589459</v>
      </c>
    </row>
    <row r="97" spans="1:33" ht="16" customHeight="1">
      <c r="A97">
        <v>2018</v>
      </c>
      <c r="B97">
        <v>2670</v>
      </c>
      <c r="C97" t="s">
        <v>257</v>
      </c>
      <c r="D97" t="s">
        <v>245</v>
      </c>
      <c r="E97" s="203">
        <v>92</v>
      </c>
      <c r="F97" s="203" t="s">
        <v>246</v>
      </c>
      <c r="G97" s="203" t="s">
        <v>247</v>
      </c>
      <c r="H97" s="204" t="s">
        <v>249</v>
      </c>
      <c r="I97" s="202">
        <v>0</v>
      </c>
      <c r="J97" s="202">
        <v>0</v>
      </c>
      <c r="K97" s="202">
        <v>0</v>
      </c>
      <c r="M97" s="254">
        <v>2019</v>
      </c>
      <c r="N97" s="254">
        <v>3410</v>
      </c>
      <c r="O97" s="255" t="s">
        <v>253</v>
      </c>
      <c r="P97" s="254">
        <v>410</v>
      </c>
      <c r="Q97" s="254">
        <v>215</v>
      </c>
      <c r="R97" s="255" t="s">
        <v>37</v>
      </c>
      <c r="S97" s="255" t="s">
        <v>153</v>
      </c>
      <c r="T97" s="265">
        <v>0</v>
      </c>
      <c r="U97" s="265">
        <v>0</v>
      </c>
      <c r="V97" s="265">
        <v>0</v>
      </c>
      <c r="W97" s="265">
        <v>0</v>
      </c>
      <c r="X97" s="265">
        <v>0</v>
      </c>
      <c r="AA97" s="292">
        <v>2019</v>
      </c>
      <c r="AB97" s="292">
        <v>2670</v>
      </c>
      <c r="AC97" s="293" t="s">
        <v>257</v>
      </c>
      <c r="AD97" s="292">
        <v>750</v>
      </c>
      <c r="AE97" s="292">
        <v>4</v>
      </c>
      <c r="AF97" s="294" t="s">
        <v>283</v>
      </c>
      <c r="AG97" s="295">
        <v>391789172</v>
      </c>
    </row>
    <row r="98" spans="1:33" ht="16" customHeight="1">
      <c r="A98">
        <v>2018</v>
      </c>
      <c r="B98">
        <v>2670</v>
      </c>
      <c r="C98" t="s">
        <v>257</v>
      </c>
      <c r="D98" t="s">
        <v>245</v>
      </c>
      <c r="E98" s="203">
        <v>93</v>
      </c>
      <c r="F98" s="203" t="s">
        <v>250</v>
      </c>
      <c r="G98" s="203" t="s">
        <v>247</v>
      </c>
      <c r="H98" s="203" t="s">
        <v>248</v>
      </c>
      <c r="I98" s="202">
        <v>0</v>
      </c>
      <c r="J98" s="202">
        <v>0</v>
      </c>
      <c r="K98" s="202">
        <v>0</v>
      </c>
      <c r="M98" s="254">
        <v>2019</v>
      </c>
      <c r="N98" s="254">
        <v>3410</v>
      </c>
      <c r="O98" s="255" t="s">
        <v>253</v>
      </c>
      <c r="P98" s="254">
        <v>410</v>
      </c>
      <c r="Q98" s="254">
        <v>216</v>
      </c>
      <c r="R98" s="255" t="s">
        <v>37</v>
      </c>
      <c r="S98" s="255" t="s">
        <v>202</v>
      </c>
      <c r="T98" s="265">
        <v>0</v>
      </c>
      <c r="U98" s="265">
        <v>0</v>
      </c>
      <c r="V98" s="265">
        <v>0</v>
      </c>
      <c r="W98" s="265">
        <v>0</v>
      </c>
      <c r="X98" s="265">
        <v>0</v>
      </c>
      <c r="AA98" s="292">
        <v>2019</v>
      </c>
      <c r="AB98" s="292">
        <v>2670</v>
      </c>
      <c r="AC98" s="293" t="s">
        <v>257</v>
      </c>
      <c r="AD98" s="292">
        <v>750</v>
      </c>
      <c r="AE98" s="292">
        <v>5</v>
      </c>
      <c r="AF98" s="294" t="s">
        <v>309</v>
      </c>
      <c r="AG98" s="295">
        <v>821740000</v>
      </c>
    </row>
    <row r="99" spans="1:33" ht="16" customHeight="1">
      <c r="A99">
        <v>2018</v>
      </c>
      <c r="B99">
        <v>2670</v>
      </c>
      <c r="C99" t="s">
        <v>257</v>
      </c>
      <c r="D99" t="s">
        <v>245</v>
      </c>
      <c r="E99" s="203">
        <v>94</v>
      </c>
      <c r="F99" s="203" t="s">
        <v>250</v>
      </c>
      <c r="G99" s="203" t="s">
        <v>247</v>
      </c>
      <c r="H99" s="204" t="s">
        <v>249</v>
      </c>
      <c r="I99" s="202">
        <v>0</v>
      </c>
      <c r="J99" s="202">
        <v>0</v>
      </c>
      <c r="K99" s="202">
        <v>0</v>
      </c>
      <c r="M99" s="254">
        <v>2019</v>
      </c>
      <c r="N99" s="254">
        <v>3410</v>
      </c>
      <c r="O99" s="255" t="s">
        <v>253</v>
      </c>
      <c r="P99" s="254">
        <v>410</v>
      </c>
      <c r="Q99" s="254">
        <v>217</v>
      </c>
      <c r="R99" s="255" t="s">
        <v>37</v>
      </c>
      <c r="S99" s="255" t="s">
        <v>156</v>
      </c>
      <c r="T99" s="265">
        <v>0</v>
      </c>
      <c r="U99" s="265">
        <v>0</v>
      </c>
      <c r="V99" s="265">
        <v>0</v>
      </c>
      <c r="W99" s="265">
        <v>0</v>
      </c>
      <c r="X99" s="265">
        <v>0</v>
      </c>
      <c r="AA99" s="292">
        <v>2019</v>
      </c>
      <c r="AB99" s="292">
        <v>2670</v>
      </c>
      <c r="AC99" s="293" t="s">
        <v>257</v>
      </c>
      <c r="AD99" s="292">
        <v>750</v>
      </c>
      <c r="AE99" s="292">
        <v>6</v>
      </c>
      <c r="AF99" s="294" t="s">
        <v>310</v>
      </c>
      <c r="AG99" s="295">
        <v>3677849</v>
      </c>
    </row>
    <row r="100" spans="1:33" ht="16" customHeight="1">
      <c r="A100">
        <v>2018</v>
      </c>
      <c r="B100">
        <v>2670</v>
      </c>
      <c r="C100" t="s">
        <v>257</v>
      </c>
      <c r="D100" t="s">
        <v>245</v>
      </c>
      <c r="E100" s="203">
        <v>95</v>
      </c>
      <c r="F100" s="203" t="s">
        <v>256</v>
      </c>
      <c r="G100" s="203" t="s">
        <v>247</v>
      </c>
      <c r="H100" s="203" t="s">
        <v>248</v>
      </c>
      <c r="I100" s="202">
        <v>3</v>
      </c>
      <c r="J100" s="202">
        <v>193</v>
      </c>
      <c r="K100" s="202">
        <v>7288000</v>
      </c>
      <c r="M100" s="254">
        <v>2019</v>
      </c>
      <c r="N100" s="254">
        <v>3410</v>
      </c>
      <c r="O100" s="255" t="s">
        <v>253</v>
      </c>
      <c r="P100" s="254">
        <v>410</v>
      </c>
      <c r="Q100" s="254">
        <v>218</v>
      </c>
      <c r="R100" s="255" t="s">
        <v>37</v>
      </c>
      <c r="S100" s="255" t="s">
        <v>158</v>
      </c>
      <c r="T100" s="265">
        <v>0</v>
      </c>
      <c r="U100" s="265">
        <v>0</v>
      </c>
      <c r="V100" s="265">
        <v>0</v>
      </c>
      <c r="W100" s="265">
        <v>113533000</v>
      </c>
      <c r="X100" s="265">
        <v>113533000</v>
      </c>
      <c r="AA100" s="292">
        <v>2019</v>
      </c>
      <c r="AB100" s="292">
        <v>3050</v>
      </c>
      <c r="AC100" s="293" t="s">
        <v>254</v>
      </c>
      <c r="AD100" s="292">
        <v>750</v>
      </c>
      <c r="AE100" s="292">
        <v>1</v>
      </c>
      <c r="AF100" s="294" t="s">
        <v>306</v>
      </c>
      <c r="AG100" s="295">
        <v>1318892873</v>
      </c>
    </row>
    <row r="101" spans="1:33" ht="16" customHeight="1">
      <c r="A101">
        <v>2018</v>
      </c>
      <c r="B101">
        <v>2670</v>
      </c>
      <c r="C101" t="s">
        <v>257</v>
      </c>
      <c r="D101" t="s">
        <v>245</v>
      </c>
      <c r="E101" s="203">
        <v>96</v>
      </c>
      <c r="F101" s="203" t="s">
        <v>256</v>
      </c>
      <c r="G101" s="203" t="s">
        <v>247</v>
      </c>
      <c r="H101" s="204" t="s">
        <v>249</v>
      </c>
      <c r="I101" s="202">
        <v>0</v>
      </c>
      <c r="J101" s="202">
        <v>0</v>
      </c>
      <c r="K101" s="202">
        <v>0</v>
      </c>
      <c r="M101" s="254">
        <v>2019</v>
      </c>
      <c r="N101" s="254">
        <v>3050</v>
      </c>
      <c r="O101" s="255" t="s">
        <v>254</v>
      </c>
      <c r="P101" s="254">
        <v>410</v>
      </c>
      <c r="Q101" s="254">
        <v>201</v>
      </c>
      <c r="R101" s="255" t="s">
        <v>37</v>
      </c>
      <c r="S101" s="255" t="s">
        <v>203</v>
      </c>
      <c r="T101" s="265">
        <v>14644000</v>
      </c>
      <c r="U101" s="265">
        <v>13482000</v>
      </c>
      <c r="V101" s="265">
        <v>20067000</v>
      </c>
      <c r="W101" s="265">
        <v>11093000</v>
      </c>
      <c r="X101" s="265">
        <v>59286000</v>
      </c>
      <c r="AA101" s="292">
        <v>2019</v>
      </c>
      <c r="AB101" s="292">
        <v>3050</v>
      </c>
      <c r="AC101" s="293" t="s">
        <v>254</v>
      </c>
      <c r="AD101" s="292">
        <v>750</v>
      </c>
      <c r="AE101" s="292">
        <v>2</v>
      </c>
      <c r="AF101" s="294" t="s">
        <v>307</v>
      </c>
      <c r="AG101" s="295">
        <v>0</v>
      </c>
    </row>
    <row r="102" spans="1:33" ht="16" customHeight="1">
      <c r="A102">
        <v>2018</v>
      </c>
      <c r="B102">
        <v>2670</v>
      </c>
      <c r="C102" t="s">
        <v>257</v>
      </c>
      <c r="D102" t="s">
        <v>245</v>
      </c>
      <c r="E102" s="203">
        <v>97</v>
      </c>
      <c r="F102" s="203" t="s">
        <v>251</v>
      </c>
      <c r="G102" s="203" t="s">
        <v>247</v>
      </c>
      <c r="H102" s="203" t="s">
        <v>248</v>
      </c>
      <c r="I102" s="202">
        <v>0</v>
      </c>
      <c r="J102" s="202">
        <v>0</v>
      </c>
      <c r="K102" s="202">
        <v>0</v>
      </c>
      <c r="M102" s="254">
        <v>2019</v>
      </c>
      <c r="N102" s="254">
        <v>3050</v>
      </c>
      <c r="O102" s="255" t="s">
        <v>254</v>
      </c>
      <c r="P102" s="254">
        <v>410</v>
      </c>
      <c r="Q102" s="254">
        <v>202</v>
      </c>
      <c r="R102" s="255" t="s">
        <v>37</v>
      </c>
      <c r="S102" s="255" t="s">
        <v>197</v>
      </c>
      <c r="T102" s="265">
        <v>285459000</v>
      </c>
      <c r="U102" s="265">
        <v>311837000</v>
      </c>
      <c r="V102" s="265">
        <v>231896000</v>
      </c>
      <c r="W102" s="265">
        <v>1666000</v>
      </c>
      <c r="X102" s="265">
        <v>830858000</v>
      </c>
      <c r="AA102" s="292">
        <v>2019</v>
      </c>
      <c r="AB102" s="292">
        <v>3050</v>
      </c>
      <c r="AC102" s="293" t="s">
        <v>254</v>
      </c>
      <c r="AD102" s="292">
        <v>750</v>
      </c>
      <c r="AE102" s="292">
        <v>3</v>
      </c>
      <c r="AF102" s="294" t="s">
        <v>308</v>
      </c>
      <c r="AG102" s="295">
        <v>46986954</v>
      </c>
    </row>
    <row r="103" spans="1:33" ht="16" customHeight="1">
      <c r="A103">
        <v>2018</v>
      </c>
      <c r="B103">
        <v>2670</v>
      </c>
      <c r="C103" t="s">
        <v>257</v>
      </c>
      <c r="D103" t="s">
        <v>245</v>
      </c>
      <c r="E103" s="203">
        <v>98</v>
      </c>
      <c r="F103" s="203" t="s">
        <v>251</v>
      </c>
      <c r="G103" s="203" t="s">
        <v>247</v>
      </c>
      <c r="H103" s="204" t="s">
        <v>249</v>
      </c>
      <c r="I103" s="202">
        <v>0</v>
      </c>
      <c r="J103" s="202">
        <v>0</v>
      </c>
      <c r="K103" s="202">
        <v>0</v>
      </c>
      <c r="M103" s="254">
        <v>2019</v>
      </c>
      <c r="N103" s="254">
        <v>3050</v>
      </c>
      <c r="O103" s="255" t="s">
        <v>254</v>
      </c>
      <c r="P103" s="254">
        <v>410</v>
      </c>
      <c r="Q103" s="254">
        <v>203</v>
      </c>
      <c r="R103" s="255" t="s">
        <v>37</v>
      </c>
      <c r="S103" s="255" t="s">
        <v>198</v>
      </c>
      <c r="T103" s="265">
        <v>433000</v>
      </c>
      <c r="U103" s="265">
        <v>3246000</v>
      </c>
      <c r="V103" s="265">
        <v>252000</v>
      </c>
      <c r="W103" s="265">
        <v>0</v>
      </c>
      <c r="X103" s="265">
        <v>3931000</v>
      </c>
      <c r="AA103" s="292">
        <v>2019</v>
      </c>
      <c r="AB103" s="292">
        <v>3050</v>
      </c>
      <c r="AC103" s="293" t="s">
        <v>254</v>
      </c>
      <c r="AD103" s="292">
        <v>750</v>
      </c>
      <c r="AE103" s="292">
        <v>4</v>
      </c>
      <c r="AF103" s="294" t="s">
        <v>283</v>
      </c>
      <c r="AG103" s="295">
        <v>1365879827</v>
      </c>
    </row>
    <row r="104" spans="1:33">
      <c r="A104">
        <v>2018</v>
      </c>
      <c r="B104">
        <v>1550</v>
      </c>
      <c r="C104" t="s">
        <v>258</v>
      </c>
      <c r="D104" t="s">
        <v>245</v>
      </c>
      <c r="E104" s="203">
        <v>91</v>
      </c>
      <c r="F104" s="203" t="s">
        <v>246</v>
      </c>
      <c r="G104" s="203" t="s">
        <v>247</v>
      </c>
      <c r="H104" s="203" t="s">
        <v>248</v>
      </c>
      <c r="I104" s="202">
        <v>17</v>
      </c>
      <c r="J104" s="202">
        <v>3576</v>
      </c>
      <c r="K104" s="202">
        <v>42351000</v>
      </c>
      <c r="M104" s="254">
        <v>2019</v>
      </c>
      <c r="N104" s="254">
        <v>3050</v>
      </c>
      <c r="O104" s="255" t="s">
        <v>254</v>
      </c>
      <c r="P104" s="254">
        <v>410</v>
      </c>
      <c r="Q104" s="254">
        <v>204</v>
      </c>
      <c r="R104" s="255" t="s">
        <v>37</v>
      </c>
      <c r="S104" s="255" t="s">
        <v>199</v>
      </c>
      <c r="T104" s="265">
        <v>1226000</v>
      </c>
      <c r="U104" s="265">
        <v>29000</v>
      </c>
      <c r="V104" s="265">
        <v>0</v>
      </c>
      <c r="W104" s="265">
        <v>0</v>
      </c>
      <c r="X104" s="265">
        <v>1255000</v>
      </c>
      <c r="AA104" s="292">
        <v>2019</v>
      </c>
      <c r="AB104" s="292">
        <v>3050</v>
      </c>
      <c r="AC104" s="293" t="s">
        <v>254</v>
      </c>
      <c r="AD104" s="292">
        <v>750</v>
      </c>
      <c r="AE104" s="292">
        <v>5</v>
      </c>
      <c r="AF104" s="294" t="s">
        <v>309</v>
      </c>
      <c r="AG104" s="295">
        <v>2806257000</v>
      </c>
    </row>
    <row r="105" spans="1:33">
      <c r="A105">
        <v>2018</v>
      </c>
      <c r="B105">
        <v>1550</v>
      </c>
      <c r="C105" t="s">
        <v>258</v>
      </c>
      <c r="D105" t="s">
        <v>245</v>
      </c>
      <c r="E105" s="203">
        <v>92</v>
      </c>
      <c r="F105" s="203" t="s">
        <v>246</v>
      </c>
      <c r="G105" s="203" t="s">
        <v>247</v>
      </c>
      <c r="H105" s="204" t="s">
        <v>249</v>
      </c>
      <c r="I105" s="202">
        <v>114</v>
      </c>
      <c r="J105" s="202">
        <v>23475</v>
      </c>
      <c r="K105" s="202">
        <v>193911000</v>
      </c>
      <c r="M105" s="254">
        <v>2019</v>
      </c>
      <c r="N105" s="254">
        <v>3050</v>
      </c>
      <c r="O105" s="255" t="s">
        <v>254</v>
      </c>
      <c r="P105" s="254">
        <v>410</v>
      </c>
      <c r="Q105" s="254">
        <v>205</v>
      </c>
      <c r="R105" s="255" t="s">
        <v>37</v>
      </c>
      <c r="S105" s="255" t="s">
        <v>200</v>
      </c>
      <c r="T105" s="265">
        <v>0</v>
      </c>
      <c r="U105" s="265">
        <v>0</v>
      </c>
      <c r="V105" s="265">
        <v>0</v>
      </c>
      <c r="W105" s="265">
        <v>120597000</v>
      </c>
      <c r="X105" s="265">
        <v>120597000</v>
      </c>
      <c r="AA105" s="292">
        <v>2019</v>
      </c>
      <c r="AB105" s="292">
        <v>3050</v>
      </c>
      <c r="AC105" s="293" t="s">
        <v>254</v>
      </c>
      <c r="AD105" s="292">
        <v>750</v>
      </c>
      <c r="AE105" s="292">
        <v>6</v>
      </c>
      <c r="AF105" s="294" t="s">
        <v>310</v>
      </c>
      <c r="AG105" s="295">
        <v>14642124</v>
      </c>
    </row>
    <row r="106" spans="1:33">
      <c r="A106">
        <v>2018</v>
      </c>
      <c r="B106">
        <v>1550</v>
      </c>
      <c r="C106" t="s">
        <v>258</v>
      </c>
      <c r="D106" t="s">
        <v>245</v>
      </c>
      <c r="E106" s="203">
        <v>93</v>
      </c>
      <c r="F106" s="203" t="s">
        <v>250</v>
      </c>
      <c r="G106" s="203" t="s">
        <v>247</v>
      </c>
      <c r="H106" s="203" t="s">
        <v>248</v>
      </c>
      <c r="I106" s="202">
        <v>0</v>
      </c>
      <c r="J106" s="202">
        <v>0</v>
      </c>
      <c r="K106" s="202">
        <v>0</v>
      </c>
      <c r="M106" s="254">
        <v>2019</v>
      </c>
      <c r="N106" s="254">
        <v>3050</v>
      </c>
      <c r="O106" s="255" t="s">
        <v>254</v>
      </c>
      <c r="P106" s="254">
        <v>410</v>
      </c>
      <c r="Q106" s="254">
        <v>206</v>
      </c>
      <c r="R106" s="255" t="s">
        <v>37</v>
      </c>
      <c r="S106" s="255" t="s">
        <v>201</v>
      </c>
      <c r="T106" s="265">
        <v>0</v>
      </c>
      <c r="U106" s="265">
        <v>0</v>
      </c>
      <c r="V106" s="265">
        <v>0</v>
      </c>
      <c r="W106" s="265">
        <v>5009000</v>
      </c>
      <c r="X106" s="265">
        <v>5009000</v>
      </c>
      <c r="AA106" s="292">
        <v>2019</v>
      </c>
      <c r="AB106" s="292">
        <v>3410</v>
      </c>
      <c r="AC106" s="293" t="s">
        <v>253</v>
      </c>
      <c r="AD106" s="292">
        <v>750</v>
      </c>
      <c r="AE106" s="292">
        <v>1</v>
      </c>
      <c r="AF106" s="294" t="s">
        <v>306</v>
      </c>
      <c r="AG106" s="295">
        <v>62740837</v>
      </c>
    </row>
    <row r="107" spans="1:33">
      <c r="A107">
        <v>2018</v>
      </c>
      <c r="B107">
        <v>1550</v>
      </c>
      <c r="C107" t="s">
        <v>258</v>
      </c>
      <c r="D107" t="s">
        <v>245</v>
      </c>
      <c r="E107" s="203">
        <v>94</v>
      </c>
      <c r="F107" s="203" t="s">
        <v>250</v>
      </c>
      <c r="G107" s="203" t="s">
        <v>247</v>
      </c>
      <c r="H107" s="203" t="s">
        <v>249</v>
      </c>
      <c r="I107" s="202">
        <v>0</v>
      </c>
      <c r="J107" s="202">
        <v>0</v>
      </c>
      <c r="K107" s="202">
        <v>0</v>
      </c>
      <c r="M107" s="254">
        <v>2019</v>
      </c>
      <c r="N107" s="254">
        <v>3050</v>
      </c>
      <c r="O107" s="255" t="s">
        <v>254</v>
      </c>
      <c r="P107" s="254">
        <v>410</v>
      </c>
      <c r="Q107" s="254">
        <v>207</v>
      </c>
      <c r="R107" s="255" t="s">
        <v>37</v>
      </c>
      <c r="S107" s="255" t="s">
        <v>137</v>
      </c>
      <c r="T107" s="265">
        <v>0</v>
      </c>
      <c r="U107" s="265">
        <v>0</v>
      </c>
      <c r="V107" s="265">
        <v>244129000</v>
      </c>
      <c r="W107" s="265">
        <v>0</v>
      </c>
      <c r="X107" s="265">
        <v>244129000</v>
      </c>
      <c r="AA107" s="292">
        <v>2019</v>
      </c>
      <c r="AB107" s="292">
        <v>3410</v>
      </c>
      <c r="AC107" s="293" t="s">
        <v>253</v>
      </c>
      <c r="AD107" s="292">
        <v>750</v>
      </c>
      <c r="AE107" s="292">
        <v>2</v>
      </c>
      <c r="AF107" s="294" t="s">
        <v>307</v>
      </c>
      <c r="AG107" s="295">
        <v>0</v>
      </c>
    </row>
    <row r="108" spans="1:33">
      <c r="A108">
        <v>2018</v>
      </c>
      <c r="B108">
        <v>1550</v>
      </c>
      <c r="C108" t="s">
        <v>258</v>
      </c>
      <c r="D108" t="s">
        <v>245</v>
      </c>
      <c r="E108">
        <v>97</v>
      </c>
      <c r="F108" t="s">
        <v>251</v>
      </c>
      <c r="G108" t="s">
        <v>247</v>
      </c>
      <c r="H108" t="s">
        <v>248</v>
      </c>
      <c r="I108" s="202">
        <v>5174</v>
      </c>
      <c r="J108" s="202">
        <v>19400</v>
      </c>
      <c r="K108" s="202">
        <v>73544000</v>
      </c>
      <c r="M108" s="254">
        <v>2019</v>
      </c>
      <c r="N108" s="254">
        <v>3050</v>
      </c>
      <c r="O108" s="255" t="s">
        <v>254</v>
      </c>
      <c r="P108" s="254">
        <v>410</v>
      </c>
      <c r="Q108" s="254">
        <v>208</v>
      </c>
      <c r="R108" s="255" t="s">
        <v>37</v>
      </c>
      <c r="S108" s="255" t="s">
        <v>138</v>
      </c>
      <c r="T108" s="265">
        <v>0</v>
      </c>
      <c r="U108" s="265">
        <v>0</v>
      </c>
      <c r="V108" s="265">
        <v>-255000</v>
      </c>
      <c r="W108" s="265">
        <v>0</v>
      </c>
      <c r="X108" s="265">
        <v>-255000</v>
      </c>
      <c r="AA108" s="292">
        <v>2019</v>
      </c>
      <c r="AB108" s="292">
        <v>3410</v>
      </c>
      <c r="AC108" s="293" t="s">
        <v>253</v>
      </c>
      <c r="AD108" s="292">
        <v>750</v>
      </c>
      <c r="AE108" s="292">
        <v>3</v>
      </c>
      <c r="AF108" s="294" t="s">
        <v>308</v>
      </c>
      <c r="AG108" s="295">
        <v>3353094</v>
      </c>
    </row>
    <row r="109" spans="1:33">
      <c r="A109">
        <v>2018</v>
      </c>
      <c r="B109">
        <v>1550</v>
      </c>
      <c r="C109" t="s">
        <v>258</v>
      </c>
      <c r="D109" t="s">
        <v>245</v>
      </c>
      <c r="E109">
        <v>98</v>
      </c>
      <c r="F109" t="s">
        <v>251</v>
      </c>
      <c r="G109" t="s">
        <v>247</v>
      </c>
      <c r="H109" t="s">
        <v>249</v>
      </c>
      <c r="I109" s="202">
        <v>0</v>
      </c>
      <c r="J109" s="202">
        <v>0</v>
      </c>
      <c r="K109" s="202">
        <v>0</v>
      </c>
      <c r="M109" s="254">
        <v>2019</v>
      </c>
      <c r="N109" s="254">
        <v>3050</v>
      </c>
      <c r="O109" s="255" t="s">
        <v>254</v>
      </c>
      <c r="P109" s="254">
        <v>410</v>
      </c>
      <c r="Q109" s="254">
        <v>209</v>
      </c>
      <c r="R109" s="255" t="s">
        <v>37</v>
      </c>
      <c r="S109" s="255" t="s">
        <v>139</v>
      </c>
      <c r="T109" s="265">
        <v>0</v>
      </c>
      <c r="U109" s="265">
        <v>0</v>
      </c>
      <c r="V109" s="265">
        <v>0</v>
      </c>
      <c r="W109" s="265">
        <v>0</v>
      </c>
      <c r="X109" s="265">
        <v>0</v>
      </c>
      <c r="AA109" s="292">
        <v>2019</v>
      </c>
      <c r="AB109" s="292">
        <v>3410</v>
      </c>
      <c r="AC109" s="293" t="s">
        <v>253</v>
      </c>
      <c r="AD109" s="292">
        <v>750</v>
      </c>
      <c r="AE109" s="292">
        <v>4</v>
      </c>
      <c r="AF109" s="294" t="s">
        <v>283</v>
      </c>
      <c r="AG109" s="295">
        <v>66093931</v>
      </c>
    </row>
    <row r="110" spans="1:33">
      <c r="A110">
        <v>2017</v>
      </c>
      <c r="B110">
        <v>3740</v>
      </c>
      <c r="C110" t="s">
        <v>244</v>
      </c>
      <c r="D110" t="s">
        <v>245</v>
      </c>
      <c r="E110" s="203">
        <v>91</v>
      </c>
      <c r="F110" s="203" t="s">
        <v>246</v>
      </c>
      <c r="G110" s="203" t="s">
        <v>247</v>
      </c>
      <c r="H110" s="203" t="s">
        <v>248</v>
      </c>
      <c r="I110" s="202">
        <v>66</v>
      </c>
      <c r="J110" s="202">
        <v>14106</v>
      </c>
      <c r="K110" s="202">
        <v>178450000</v>
      </c>
      <c r="M110" s="254">
        <v>2019</v>
      </c>
      <c r="N110" s="254">
        <v>3050</v>
      </c>
      <c r="O110" s="255" t="s">
        <v>254</v>
      </c>
      <c r="P110" s="254">
        <v>410</v>
      </c>
      <c r="Q110" s="254">
        <v>210</v>
      </c>
      <c r="R110" s="255" t="s">
        <v>37</v>
      </c>
      <c r="S110" s="255" t="s">
        <v>140</v>
      </c>
      <c r="T110" s="265">
        <v>0</v>
      </c>
      <c r="U110" s="265">
        <v>0</v>
      </c>
      <c r="V110" s="265">
        <v>0</v>
      </c>
      <c r="W110" s="265">
        <v>0</v>
      </c>
      <c r="X110" s="265">
        <v>0</v>
      </c>
      <c r="AA110" s="292">
        <v>2019</v>
      </c>
      <c r="AB110" s="292">
        <v>3410</v>
      </c>
      <c r="AC110" s="293" t="s">
        <v>253</v>
      </c>
      <c r="AD110" s="292">
        <v>750</v>
      </c>
      <c r="AE110" s="292">
        <v>5</v>
      </c>
      <c r="AF110" s="294" t="s">
        <v>309</v>
      </c>
      <c r="AG110" s="295">
        <v>133788000</v>
      </c>
    </row>
    <row r="111" spans="1:33">
      <c r="A111">
        <v>2017</v>
      </c>
      <c r="B111">
        <v>3740</v>
      </c>
      <c r="C111" t="s">
        <v>244</v>
      </c>
      <c r="D111" t="s">
        <v>245</v>
      </c>
      <c r="E111" s="203">
        <v>92</v>
      </c>
      <c r="F111" s="203" t="s">
        <v>246</v>
      </c>
      <c r="G111" s="203" t="s">
        <v>247</v>
      </c>
      <c r="H111" s="204" t="s">
        <v>249</v>
      </c>
      <c r="I111" s="202">
        <v>220</v>
      </c>
      <c r="J111" s="202">
        <v>37033</v>
      </c>
      <c r="K111" s="202">
        <v>71230000</v>
      </c>
      <c r="M111" s="254">
        <v>2019</v>
      </c>
      <c r="N111" s="254">
        <v>3050</v>
      </c>
      <c r="O111" s="255" t="s">
        <v>254</v>
      </c>
      <c r="P111" s="254">
        <v>410</v>
      </c>
      <c r="Q111" s="254">
        <v>211</v>
      </c>
      <c r="R111" s="255" t="s">
        <v>37</v>
      </c>
      <c r="S111" s="255" t="s">
        <v>141</v>
      </c>
      <c r="T111" s="265">
        <v>0</v>
      </c>
      <c r="U111" s="265">
        <v>0</v>
      </c>
      <c r="V111" s="265">
        <v>0</v>
      </c>
      <c r="W111" s="265">
        <v>0</v>
      </c>
      <c r="X111" s="265">
        <v>0</v>
      </c>
      <c r="AA111" s="292">
        <v>2019</v>
      </c>
      <c r="AB111" s="292">
        <v>3410</v>
      </c>
      <c r="AC111" s="293" t="s">
        <v>253</v>
      </c>
      <c r="AD111" s="292">
        <v>750</v>
      </c>
      <c r="AE111" s="292">
        <v>6</v>
      </c>
      <c r="AF111" s="294" t="s">
        <v>310</v>
      </c>
      <c r="AG111" s="295">
        <v>508353</v>
      </c>
    </row>
    <row r="112" spans="1:33">
      <c r="A112">
        <v>2017</v>
      </c>
      <c r="B112">
        <v>3740</v>
      </c>
      <c r="C112" t="s">
        <v>244</v>
      </c>
      <c r="D112" t="s">
        <v>245</v>
      </c>
      <c r="E112" s="203">
        <v>93</v>
      </c>
      <c r="F112" s="203" t="s">
        <v>250</v>
      </c>
      <c r="G112" s="203" t="s">
        <v>247</v>
      </c>
      <c r="H112" s="203" t="s">
        <v>248</v>
      </c>
      <c r="I112" s="202">
        <v>656</v>
      </c>
      <c r="J112" s="202">
        <v>20334</v>
      </c>
      <c r="K112" s="202">
        <v>57254000</v>
      </c>
      <c r="M112" s="254">
        <v>2019</v>
      </c>
      <c r="N112" s="254">
        <v>3050</v>
      </c>
      <c r="O112" s="255" t="s">
        <v>254</v>
      </c>
      <c r="P112" s="254">
        <v>410</v>
      </c>
      <c r="Q112" s="254">
        <v>212</v>
      </c>
      <c r="R112" s="255" t="s">
        <v>37</v>
      </c>
      <c r="S112" s="255" t="s">
        <v>142</v>
      </c>
      <c r="T112" s="265">
        <v>0</v>
      </c>
      <c r="U112" s="265">
        <v>0</v>
      </c>
      <c r="V112" s="265">
        <v>0</v>
      </c>
      <c r="W112" s="265">
        <v>0</v>
      </c>
      <c r="X112" s="265">
        <v>0</v>
      </c>
      <c r="AA112" s="292">
        <v>2019</v>
      </c>
      <c r="AB112" s="292">
        <v>3680</v>
      </c>
      <c r="AC112" s="293" t="s">
        <v>252</v>
      </c>
      <c r="AD112" s="292">
        <v>750</v>
      </c>
      <c r="AE112" s="292">
        <v>1</v>
      </c>
      <c r="AF112" s="294" t="s">
        <v>306</v>
      </c>
      <c r="AG112" s="295">
        <v>67335420</v>
      </c>
    </row>
    <row r="113" spans="1:35">
      <c r="A113">
        <v>2017</v>
      </c>
      <c r="B113">
        <v>3740</v>
      </c>
      <c r="C113" t="s">
        <v>244</v>
      </c>
      <c r="D113" t="s">
        <v>245</v>
      </c>
      <c r="E113" s="203">
        <v>94</v>
      </c>
      <c r="F113" s="203" t="s">
        <v>250</v>
      </c>
      <c r="G113" s="203" t="s">
        <v>247</v>
      </c>
      <c r="H113" s="204" t="s">
        <v>249</v>
      </c>
      <c r="I113" s="202">
        <v>0</v>
      </c>
      <c r="J113" s="202">
        <v>0</v>
      </c>
      <c r="K113" s="202">
        <v>0</v>
      </c>
      <c r="M113" s="254">
        <v>2019</v>
      </c>
      <c r="N113" s="254">
        <v>3050</v>
      </c>
      <c r="O113" s="255" t="s">
        <v>254</v>
      </c>
      <c r="P113" s="254">
        <v>410</v>
      </c>
      <c r="Q113" s="254">
        <v>213</v>
      </c>
      <c r="R113" s="255" t="s">
        <v>37</v>
      </c>
      <c r="S113" s="255" t="s">
        <v>145</v>
      </c>
      <c r="T113" s="265">
        <v>0</v>
      </c>
      <c r="U113" s="265">
        <v>0</v>
      </c>
      <c r="V113" s="265">
        <v>0</v>
      </c>
      <c r="W113" s="265">
        <v>455157000</v>
      </c>
      <c r="X113" s="265">
        <v>455157000</v>
      </c>
      <c r="AA113" s="292">
        <v>2019</v>
      </c>
      <c r="AB113" s="292">
        <v>3680</v>
      </c>
      <c r="AC113" s="293" t="s">
        <v>252</v>
      </c>
      <c r="AD113" s="292">
        <v>750</v>
      </c>
      <c r="AE113" s="292">
        <v>2</v>
      </c>
      <c r="AF113" s="294" t="s">
        <v>307</v>
      </c>
      <c r="AG113" s="295">
        <v>0</v>
      </c>
    </row>
    <row r="114" spans="1:35">
      <c r="A114">
        <v>2017</v>
      </c>
      <c r="B114">
        <v>3740</v>
      </c>
      <c r="C114" t="s">
        <v>244</v>
      </c>
      <c r="D114" t="s">
        <v>245</v>
      </c>
      <c r="E114" s="203">
        <v>97</v>
      </c>
      <c r="F114" s="203" t="s">
        <v>251</v>
      </c>
      <c r="G114" s="203" t="s">
        <v>247</v>
      </c>
      <c r="H114" s="203" t="s">
        <v>248</v>
      </c>
      <c r="I114" s="202">
        <v>2000</v>
      </c>
      <c r="J114" s="202">
        <v>10300</v>
      </c>
      <c r="K114" s="202">
        <v>17418000</v>
      </c>
      <c r="M114" s="254">
        <v>2019</v>
      </c>
      <c r="N114" s="254">
        <v>3050</v>
      </c>
      <c r="O114" s="255" t="s">
        <v>254</v>
      </c>
      <c r="P114" s="254">
        <v>410</v>
      </c>
      <c r="Q114" s="254">
        <v>214</v>
      </c>
      <c r="R114" s="255" t="s">
        <v>37</v>
      </c>
      <c r="S114" s="255" t="s">
        <v>152</v>
      </c>
      <c r="T114" s="265">
        <v>0</v>
      </c>
      <c r="U114" s="265">
        <v>0</v>
      </c>
      <c r="V114" s="265">
        <v>5171000</v>
      </c>
      <c r="W114" s="265">
        <v>0</v>
      </c>
      <c r="X114" s="265">
        <v>5171000</v>
      </c>
      <c r="AA114" s="292">
        <v>2019</v>
      </c>
      <c r="AB114" s="292">
        <v>3680</v>
      </c>
      <c r="AC114" s="293" t="s">
        <v>252</v>
      </c>
      <c r="AD114" s="292">
        <v>750</v>
      </c>
      <c r="AE114" s="292">
        <v>3</v>
      </c>
      <c r="AF114" s="294" t="s">
        <v>308</v>
      </c>
      <c r="AG114" s="295">
        <v>1367400</v>
      </c>
    </row>
    <row r="115" spans="1:35">
      <c r="A115">
        <v>2017</v>
      </c>
      <c r="B115">
        <v>3740</v>
      </c>
      <c r="C115" t="s">
        <v>244</v>
      </c>
      <c r="D115" t="s">
        <v>245</v>
      </c>
      <c r="E115" s="203">
        <v>98</v>
      </c>
      <c r="F115" s="203" t="s">
        <v>251</v>
      </c>
      <c r="G115" s="203" t="s">
        <v>247</v>
      </c>
      <c r="H115" s="204" t="s">
        <v>249</v>
      </c>
      <c r="I115" s="202">
        <v>0</v>
      </c>
      <c r="J115" s="202">
        <v>0</v>
      </c>
      <c r="K115" s="202">
        <v>0</v>
      </c>
      <c r="M115" s="254">
        <v>2019</v>
      </c>
      <c r="N115" s="254">
        <v>3050</v>
      </c>
      <c r="O115" s="255" t="s">
        <v>254</v>
      </c>
      <c r="P115" s="254">
        <v>410</v>
      </c>
      <c r="Q115" s="254">
        <v>215</v>
      </c>
      <c r="R115" s="255" t="s">
        <v>37</v>
      </c>
      <c r="S115" s="255" t="s">
        <v>153</v>
      </c>
      <c r="T115" s="265">
        <v>0</v>
      </c>
      <c r="U115" s="265">
        <v>0</v>
      </c>
      <c r="V115" s="265">
        <v>0</v>
      </c>
      <c r="W115" s="265">
        <v>0</v>
      </c>
      <c r="X115" s="265">
        <v>0</v>
      </c>
      <c r="AA115" s="292">
        <v>2019</v>
      </c>
      <c r="AB115" s="292">
        <v>3680</v>
      </c>
      <c r="AC115" s="293" t="s">
        <v>252</v>
      </c>
      <c r="AD115" s="292">
        <v>750</v>
      </c>
      <c r="AE115" s="292">
        <v>4</v>
      </c>
      <c r="AF115" s="294" t="s">
        <v>283</v>
      </c>
      <c r="AG115" s="295">
        <v>68702820</v>
      </c>
    </row>
    <row r="116" spans="1:35">
      <c r="A116">
        <v>2017</v>
      </c>
      <c r="B116">
        <v>3680</v>
      </c>
      <c r="C116" t="s">
        <v>252</v>
      </c>
      <c r="D116" t="s">
        <v>245</v>
      </c>
      <c r="E116" s="203">
        <v>91</v>
      </c>
      <c r="F116" s="203" t="s">
        <v>246</v>
      </c>
      <c r="G116" s="203" t="s">
        <v>247</v>
      </c>
      <c r="H116" s="203" t="s">
        <v>248</v>
      </c>
      <c r="I116" s="202">
        <v>0</v>
      </c>
      <c r="J116" s="202">
        <v>0</v>
      </c>
      <c r="K116" s="202">
        <v>0</v>
      </c>
      <c r="M116" s="254">
        <v>2019</v>
      </c>
      <c r="N116" s="254">
        <v>3050</v>
      </c>
      <c r="O116" s="255" t="s">
        <v>254</v>
      </c>
      <c r="P116" s="254">
        <v>410</v>
      </c>
      <c r="Q116" s="254">
        <v>216</v>
      </c>
      <c r="R116" s="255" t="s">
        <v>37</v>
      </c>
      <c r="S116" s="255" t="s">
        <v>202</v>
      </c>
      <c r="T116" s="265">
        <v>0</v>
      </c>
      <c r="U116" s="265">
        <v>0</v>
      </c>
      <c r="V116" s="265">
        <v>-23362000</v>
      </c>
      <c r="W116" s="265">
        <v>0</v>
      </c>
      <c r="X116" s="265">
        <v>-23362000</v>
      </c>
      <c r="AA116" s="292">
        <v>2019</v>
      </c>
      <c r="AB116" s="292">
        <v>3680</v>
      </c>
      <c r="AC116" s="293" t="s">
        <v>252</v>
      </c>
      <c r="AD116" s="292">
        <v>750</v>
      </c>
      <c r="AE116" s="292">
        <v>5</v>
      </c>
      <c r="AF116" s="294" t="s">
        <v>309</v>
      </c>
      <c r="AG116" s="295">
        <v>141310000</v>
      </c>
    </row>
    <row r="117" spans="1:35">
      <c r="A117">
        <v>2017</v>
      </c>
      <c r="B117">
        <v>3680</v>
      </c>
      <c r="C117" t="s">
        <v>252</v>
      </c>
      <c r="D117" t="s">
        <v>245</v>
      </c>
      <c r="E117" s="203">
        <v>92</v>
      </c>
      <c r="F117" s="203" t="s">
        <v>246</v>
      </c>
      <c r="G117" s="203" t="s">
        <v>247</v>
      </c>
      <c r="H117" s="204" t="s">
        <v>249</v>
      </c>
      <c r="I117" s="202">
        <v>0</v>
      </c>
      <c r="J117" s="202">
        <v>0</v>
      </c>
      <c r="K117" s="202">
        <v>0</v>
      </c>
      <c r="M117" s="254">
        <v>2019</v>
      </c>
      <c r="N117" s="254">
        <v>3050</v>
      </c>
      <c r="O117" s="255" t="s">
        <v>254</v>
      </c>
      <c r="P117" s="254">
        <v>410</v>
      </c>
      <c r="Q117" s="254">
        <v>217</v>
      </c>
      <c r="R117" s="255" t="s">
        <v>37</v>
      </c>
      <c r="S117" s="255" t="s">
        <v>156</v>
      </c>
      <c r="T117" s="265">
        <v>0</v>
      </c>
      <c r="U117" s="265">
        <v>0</v>
      </c>
      <c r="V117" s="265">
        <v>0</v>
      </c>
      <c r="W117" s="265">
        <v>0</v>
      </c>
      <c r="X117" s="265">
        <v>0</v>
      </c>
      <c r="AA117" s="292">
        <v>2019</v>
      </c>
      <c r="AB117" s="292">
        <v>3680</v>
      </c>
      <c r="AC117" s="293" t="s">
        <v>252</v>
      </c>
      <c r="AD117" s="292">
        <v>750</v>
      </c>
      <c r="AE117" s="292">
        <v>6</v>
      </c>
      <c r="AF117" s="294" t="s">
        <v>310</v>
      </c>
      <c r="AG117" s="295">
        <v>477429</v>
      </c>
    </row>
    <row r="118" spans="1:35">
      <c r="A118">
        <v>2017</v>
      </c>
      <c r="B118">
        <v>3680</v>
      </c>
      <c r="C118" t="s">
        <v>252</v>
      </c>
      <c r="D118" t="s">
        <v>245</v>
      </c>
      <c r="E118" s="203">
        <v>93</v>
      </c>
      <c r="F118" s="203" t="s">
        <v>250</v>
      </c>
      <c r="G118" s="203" t="s">
        <v>247</v>
      </c>
      <c r="H118" s="203" t="s">
        <v>248</v>
      </c>
      <c r="I118" s="202">
        <v>0</v>
      </c>
      <c r="J118" s="202">
        <v>0</v>
      </c>
      <c r="K118" s="202">
        <v>0</v>
      </c>
      <c r="M118" s="254">
        <v>2019</v>
      </c>
      <c r="N118" s="254">
        <v>3050</v>
      </c>
      <c r="O118" s="255" t="s">
        <v>254</v>
      </c>
      <c r="P118" s="254">
        <v>410</v>
      </c>
      <c r="Q118" s="254">
        <v>218</v>
      </c>
      <c r="R118" s="255" t="s">
        <v>37</v>
      </c>
      <c r="S118" s="255" t="s">
        <v>158</v>
      </c>
      <c r="T118" s="265">
        <v>0</v>
      </c>
      <c r="U118" s="265">
        <v>2070000</v>
      </c>
      <c r="V118" s="265">
        <v>38000</v>
      </c>
      <c r="W118" s="265">
        <v>512000</v>
      </c>
      <c r="X118" s="265">
        <v>2620000</v>
      </c>
      <c r="AA118" s="292">
        <v>2019</v>
      </c>
      <c r="AB118" s="292">
        <v>3740</v>
      </c>
      <c r="AC118" s="293" t="s">
        <v>244</v>
      </c>
      <c r="AD118" s="292">
        <v>750</v>
      </c>
      <c r="AE118" s="292">
        <v>1</v>
      </c>
      <c r="AF118" s="294" t="s">
        <v>306</v>
      </c>
      <c r="AG118" s="295">
        <v>870814873</v>
      </c>
    </row>
    <row r="119" spans="1:35">
      <c r="A119">
        <v>2017</v>
      </c>
      <c r="B119">
        <v>3680</v>
      </c>
      <c r="C119" t="s">
        <v>252</v>
      </c>
      <c r="D119" t="s">
        <v>245</v>
      </c>
      <c r="E119" s="203">
        <v>94</v>
      </c>
      <c r="F119" s="203" t="s">
        <v>250</v>
      </c>
      <c r="G119" s="203" t="s">
        <v>247</v>
      </c>
      <c r="H119" s="203" t="s">
        <v>249</v>
      </c>
      <c r="I119" s="202">
        <v>0</v>
      </c>
      <c r="J119" s="202">
        <v>0</v>
      </c>
      <c r="K119" s="202">
        <v>0</v>
      </c>
      <c r="M119" s="254">
        <v>2019</v>
      </c>
      <c r="N119" s="254">
        <v>2670</v>
      </c>
      <c r="O119" s="255" t="s">
        <v>257</v>
      </c>
      <c r="P119" s="254">
        <v>410</v>
      </c>
      <c r="Q119" s="254">
        <v>201</v>
      </c>
      <c r="R119" s="255" t="s">
        <v>37</v>
      </c>
      <c r="S119" s="255" t="s">
        <v>203</v>
      </c>
      <c r="T119" s="265">
        <v>2250000</v>
      </c>
      <c r="U119" s="265">
        <v>212000</v>
      </c>
      <c r="V119" s="265">
        <v>2110000</v>
      </c>
      <c r="W119" s="265">
        <v>692000</v>
      </c>
      <c r="X119" s="265">
        <v>5264000</v>
      </c>
      <c r="AA119" s="292">
        <v>2019</v>
      </c>
      <c r="AB119" s="292">
        <v>3740</v>
      </c>
      <c r="AC119" s="293" t="s">
        <v>244</v>
      </c>
      <c r="AD119" s="292">
        <v>750</v>
      </c>
      <c r="AE119" s="292">
        <v>2</v>
      </c>
      <c r="AF119" s="294" t="s">
        <v>307</v>
      </c>
      <c r="AG119" s="295">
        <v>11106241</v>
      </c>
    </row>
    <row r="120" spans="1:35">
      <c r="A120">
        <v>2017</v>
      </c>
      <c r="B120">
        <v>3680</v>
      </c>
      <c r="C120" t="s">
        <v>252</v>
      </c>
      <c r="D120" t="s">
        <v>245</v>
      </c>
      <c r="E120" s="203">
        <v>97</v>
      </c>
      <c r="F120" s="203" t="s">
        <v>251</v>
      </c>
      <c r="G120" s="203" t="s">
        <v>247</v>
      </c>
      <c r="H120" s="203" t="s">
        <v>248</v>
      </c>
      <c r="I120" s="202">
        <v>0</v>
      </c>
      <c r="J120" s="202">
        <v>0</v>
      </c>
      <c r="K120" s="202">
        <v>0</v>
      </c>
      <c r="M120" s="254">
        <v>2019</v>
      </c>
      <c r="N120" s="254">
        <v>2670</v>
      </c>
      <c r="O120" s="255" t="s">
        <v>257</v>
      </c>
      <c r="P120" s="254">
        <v>410</v>
      </c>
      <c r="Q120" s="254">
        <v>202</v>
      </c>
      <c r="R120" s="255" t="s">
        <v>37</v>
      </c>
      <c r="S120" s="255" t="s">
        <v>197</v>
      </c>
      <c r="T120" s="265">
        <v>69231000</v>
      </c>
      <c r="U120" s="265">
        <v>55203000</v>
      </c>
      <c r="V120" s="265">
        <v>145035000</v>
      </c>
      <c r="W120" s="265">
        <v>5712000</v>
      </c>
      <c r="X120" s="265">
        <v>275181000</v>
      </c>
      <c r="AA120" s="292">
        <v>2019</v>
      </c>
      <c r="AB120" s="292">
        <v>3740</v>
      </c>
      <c r="AC120" s="293" t="s">
        <v>244</v>
      </c>
      <c r="AD120" s="292">
        <v>750</v>
      </c>
      <c r="AE120" s="292">
        <v>3</v>
      </c>
      <c r="AF120" s="294" t="s">
        <v>308</v>
      </c>
      <c r="AG120" s="295">
        <v>83784976</v>
      </c>
    </row>
    <row r="121" spans="1:35">
      <c r="A121">
        <v>2017</v>
      </c>
      <c r="B121">
        <v>3680</v>
      </c>
      <c r="C121" t="s">
        <v>252</v>
      </c>
      <c r="D121" t="s">
        <v>245</v>
      </c>
      <c r="E121" s="203">
        <v>98</v>
      </c>
      <c r="F121" s="203" t="s">
        <v>251</v>
      </c>
      <c r="G121" s="203" t="s">
        <v>247</v>
      </c>
      <c r="H121" s="204" t="s">
        <v>249</v>
      </c>
      <c r="I121" s="202">
        <v>0</v>
      </c>
      <c r="J121" s="202">
        <v>0</v>
      </c>
      <c r="K121" s="202">
        <v>0</v>
      </c>
      <c r="M121" s="254">
        <v>2019</v>
      </c>
      <c r="N121" s="254">
        <v>2670</v>
      </c>
      <c r="O121" s="255" t="s">
        <v>257</v>
      </c>
      <c r="P121" s="254">
        <v>410</v>
      </c>
      <c r="Q121" s="254">
        <v>203</v>
      </c>
      <c r="R121" s="255" t="s">
        <v>37</v>
      </c>
      <c r="S121" s="255" t="s">
        <v>198</v>
      </c>
      <c r="T121" s="265">
        <v>1253000</v>
      </c>
      <c r="U121" s="265">
        <v>516000</v>
      </c>
      <c r="V121" s="265">
        <v>128000</v>
      </c>
      <c r="W121" s="265">
        <v>0</v>
      </c>
      <c r="X121" s="265">
        <v>1897000</v>
      </c>
      <c r="AA121" s="292">
        <v>2019</v>
      </c>
      <c r="AB121" s="292">
        <v>3740</v>
      </c>
      <c r="AC121" s="293" t="s">
        <v>244</v>
      </c>
      <c r="AD121" s="292">
        <v>750</v>
      </c>
      <c r="AE121" s="292">
        <v>4</v>
      </c>
      <c r="AF121" s="294" t="s">
        <v>283</v>
      </c>
      <c r="AG121" s="295">
        <v>965706090</v>
      </c>
    </row>
    <row r="122" spans="1:35">
      <c r="A122">
        <v>2017</v>
      </c>
      <c r="B122">
        <v>3410</v>
      </c>
      <c r="C122" t="s">
        <v>253</v>
      </c>
      <c r="D122" t="s">
        <v>245</v>
      </c>
      <c r="E122" s="203">
        <v>91</v>
      </c>
      <c r="F122" s="203" t="s">
        <v>246</v>
      </c>
      <c r="G122" s="203" t="s">
        <v>247</v>
      </c>
      <c r="H122" s="203" t="s">
        <v>248</v>
      </c>
      <c r="I122" s="202">
        <v>0</v>
      </c>
      <c r="J122" s="202">
        <v>0</v>
      </c>
      <c r="K122" s="202">
        <v>0</v>
      </c>
      <c r="M122" s="254">
        <v>2019</v>
      </c>
      <c r="N122" s="254">
        <v>2670</v>
      </c>
      <c r="O122" s="255" t="s">
        <v>257</v>
      </c>
      <c r="P122" s="254">
        <v>410</v>
      </c>
      <c r="Q122" s="254">
        <v>204</v>
      </c>
      <c r="R122" s="255" t="s">
        <v>37</v>
      </c>
      <c r="S122" s="255" t="s">
        <v>199</v>
      </c>
      <c r="T122" s="265">
        <v>0</v>
      </c>
      <c r="U122" s="265">
        <v>0</v>
      </c>
      <c r="V122" s="265">
        <v>2000</v>
      </c>
      <c r="W122" s="265">
        <v>0</v>
      </c>
      <c r="X122" s="265">
        <v>2000</v>
      </c>
      <c r="AA122" s="292">
        <v>2019</v>
      </c>
      <c r="AB122" s="292">
        <v>3740</v>
      </c>
      <c r="AC122" s="293" t="s">
        <v>244</v>
      </c>
      <c r="AD122" s="292">
        <v>750</v>
      </c>
      <c r="AE122" s="292">
        <v>5</v>
      </c>
      <c r="AF122" s="294" t="s">
        <v>309</v>
      </c>
      <c r="AG122" s="295">
        <v>2048685000</v>
      </c>
    </row>
    <row r="123" spans="1:35">
      <c r="A123">
        <v>2017</v>
      </c>
      <c r="B123">
        <v>3410</v>
      </c>
      <c r="C123" t="s">
        <v>253</v>
      </c>
      <c r="D123" t="s">
        <v>245</v>
      </c>
      <c r="E123" s="203">
        <v>92</v>
      </c>
      <c r="F123" s="203" t="s">
        <v>246</v>
      </c>
      <c r="G123" s="203" t="s">
        <v>247</v>
      </c>
      <c r="H123" s="204" t="s">
        <v>249</v>
      </c>
      <c r="I123" s="202">
        <v>0</v>
      </c>
      <c r="J123" s="202">
        <v>0</v>
      </c>
      <c r="K123" s="202">
        <v>0</v>
      </c>
      <c r="M123" s="254">
        <v>2019</v>
      </c>
      <c r="N123" s="254">
        <v>2670</v>
      </c>
      <c r="O123" s="255" t="s">
        <v>257</v>
      </c>
      <c r="P123" s="254">
        <v>410</v>
      </c>
      <c r="Q123" s="254">
        <v>205</v>
      </c>
      <c r="R123" s="255" t="s">
        <v>37</v>
      </c>
      <c r="S123" s="255" t="s">
        <v>200</v>
      </c>
      <c r="T123" s="265">
        <v>0</v>
      </c>
      <c r="U123" s="265">
        <v>0</v>
      </c>
      <c r="V123" s="265">
        <v>0</v>
      </c>
      <c r="W123" s="265">
        <v>30516000</v>
      </c>
      <c r="X123" s="265">
        <v>30516000</v>
      </c>
      <c r="AA123" s="292">
        <v>2019</v>
      </c>
      <c r="AB123" s="292">
        <v>3740</v>
      </c>
      <c r="AC123" s="293" t="s">
        <v>244</v>
      </c>
      <c r="AD123" s="292">
        <v>750</v>
      </c>
      <c r="AE123" s="292">
        <v>6</v>
      </c>
      <c r="AF123" s="294" t="s">
        <v>310</v>
      </c>
      <c r="AG123" s="295">
        <v>10885836</v>
      </c>
    </row>
    <row r="124" spans="1:35">
      <c r="A124">
        <v>2017</v>
      </c>
      <c r="B124">
        <v>3410</v>
      </c>
      <c r="C124" t="s">
        <v>253</v>
      </c>
      <c r="D124" t="s">
        <v>245</v>
      </c>
      <c r="E124" s="203">
        <v>93</v>
      </c>
      <c r="F124" s="203" t="s">
        <v>250</v>
      </c>
      <c r="G124" s="203" t="s">
        <v>247</v>
      </c>
      <c r="H124" s="203" t="s">
        <v>248</v>
      </c>
      <c r="I124" s="202">
        <v>1132</v>
      </c>
      <c r="J124" s="202">
        <v>46702</v>
      </c>
      <c r="K124" s="202">
        <v>93131000</v>
      </c>
      <c r="M124" s="254">
        <v>2019</v>
      </c>
      <c r="N124" s="254">
        <v>2670</v>
      </c>
      <c r="O124" s="255" t="s">
        <v>257</v>
      </c>
      <c r="P124" s="254">
        <v>410</v>
      </c>
      <c r="Q124" s="254">
        <v>206</v>
      </c>
      <c r="R124" s="255" t="s">
        <v>37</v>
      </c>
      <c r="S124" s="255" t="s">
        <v>201</v>
      </c>
      <c r="T124" s="265">
        <v>0</v>
      </c>
      <c r="U124" s="265">
        <v>0</v>
      </c>
      <c r="V124" s="265">
        <v>0</v>
      </c>
      <c r="W124" s="265">
        <v>5605000</v>
      </c>
      <c r="X124" s="265">
        <v>5605000</v>
      </c>
    </row>
    <row r="125" spans="1:35">
      <c r="A125">
        <v>2017</v>
      </c>
      <c r="B125">
        <v>3410</v>
      </c>
      <c r="C125" t="s">
        <v>253</v>
      </c>
      <c r="D125" t="s">
        <v>245</v>
      </c>
      <c r="E125" s="203">
        <v>94</v>
      </c>
      <c r="F125" s="203" t="s">
        <v>250</v>
      </c>
      <c r="G125" s="203" t="s">
        <v>247</v>
      </c>
      <c r="H125" s="204" t="s">
        <v>249</v>
      </c>
      <c r="I125" s="202">
        <v>0</v>
      </c>
      <c r="J125" s="202">
        <v>0</v>
      </c>
      <c r="K125" s="202">
        <v>0</v>
      </c>
      <c r="M125" s="254">
        <v>2019</v>
      </c>
      <c r="N125" s="254">
        <v>2670</v>
      </c>
      <c r="O125" s="255" t="s">
        <v>257</v>
      </c>
      <c r="P125" s="254">
        <v>410</v>
      </c>
      <c r="Q125" s="254">
        <v>207</v>
      </c>
      <c r="R125" s="255" t="s">
        <v>37</v>
      </c>
      <c r="S125" s="255" t="s">
        <v>137</v>
      </c>
      <c r="T125" s="265">
        <v>0</v>
      </c>
      <c r="U125" s="265">
        <v>0</v>
      </c>
      <c r="V125" s="265">
        <v>769000</v>
      </c>
      <c r="W125" s="265">
        <v>0</v>
      </c>
      <c r="X125" s="265">
        <v>769000</v>
      </c>
      <c r="AA125" s="303" t="s">
        <v>2</v>
      </c>
      <c r="AB125" s="304" t="s">
        <v>266</v>
      </c>
      <c r="AC125" s="304" t="s">
        <v>267</v>
      </c>
      <c r="AD125" s="304" t="s">
        <v>98</v>
      </c>
      <c r="AE125" s="304" t="s">
        <v>99</v>
      </c>
      <c r="AF125" s="305" t="s">
        <v>448</v>
      </c>
      <c r="AG125" s="305"/>
      <c r="AH125" s="304" t="s">
        <v>448</v>
      </c>
      <c r="AI125" s="306" t="s">
        <v>449</v>
      </c>
    </row>
    <row r="126" spans="1:35">
      <c r="A126">
        <v>2017</v>
      </c>
      <c r="B126">
        <v>3410</v>
      </c>
      <c r="C126" t="s">
        <v>253</v>
      </c>
      <c r="D126" t="s">
        <v>245</v>
      </c>
      <c r="E126" s="203">
        <v>97</v>
      </c>
      <c r="F126" s="203" t="s">
        <v>251</v>
      </c>
      <c r="G126" s="203" t="s">
        <v>247</v>
      </c>
      <c r="H126" s="203" t="s">
        <v>248</v>
      </c>
      <c r="I126" s="202">
        <v>0</v>
      </c>
      <c r="J126" s="202">
        <v>0</v>
      </c>
      <c r="K126" s="202">
        <v>0</v>
      </c>
      <c r="M126" s="254">
        <v>2019</v>
      </c>
      <c r="N126" s="254">
        <v>2670</v>
      </c>
      <c r="O126" s="255" t="s">
        <v>257</v>
      </c>
      <c r="P126" s="254">
        <v>410</v>
      </c>
      <c r="Q126" s="254">
        <v>208</v>
      </c>
      <c r="R126" s="255" t="s">
        <v>37</v>
      </c>
      <c r="S126" s="255" t="s">
        <v>138</v>
      </c>
      <c r="T126" s="265">
        <v>0</v>
      </c>
      <c r="U126" s="265">
        <v>0</v>
      </c>
      <c r="V126" s="265">
        <v>-2923000</v>
      </c>
      <c r="W126" s="265">
        <v>0</v>
      </c>
      <c r="X126" s="265">
        <v>-2923000</v>
      </c>
      <c r="AA126" s="302"/>
      <c r="AB126" s="302"/>
      <c r="AC126" s="302"/>
      <c r="AD126" s="302"/>
      <c r="AE126" s="302"/>
      <c r="AF126" s="309" t="s">
        <v>450</v>
      </c>
      <c r="AG126" s="305" t="s">
        <v>451</v>
      </c>
      <c r="AH126" s="305" t="s">
        <v>452</v>
      </c>
      <c r="AI126" s="310" t="s">
        <v>453</v>
      </c>
    </row>
    <row r="127" spans="1:35" ht="16" customHeight="1">
      <c r="A127">
        <v>2017</v>
      </c>
      <c r="B127">
        <v>3410</v>
      </c>
      <c r="C127" t="s">
        <v>253</v>
      </c>
      <c r="D127" t="s">
        <v>245</v>
      </c>
      <c r="E127" s="203">
        <v>98</v>
      </c>
      <c r="F127" s="203" t="s">
        <v>251</v>
      </c>
      <c r="G127" s="203" t="s">
        <v>247</v>
      </c>
      <c r="H127" s="204" t="s">
        <v>249</v>
      </c>
      <c r="I127" s="202">
        <v>0</v>
      </c>
      <c r="J127" s="202">
        <v>0</v>
      </c>
      <c r="K127" s="202">
        <v>0</v>
      </c>
      <c r="M127" s="254">
        <v>2019</v>
      </c>
      <c r="N127" s="254">
        <v>2670</v>
      </c>
      <c r="O127" s="255" t="s">
        <v>257</v>
      </c>
      <c r="P127" s="254">
        <v>410</v>
      </c>
      <c r="Q127" s="254">
        <v>209</v>
      </c>
      <c r="R127" s="255" t="s">
        <v>37</v>
      </c>
      <c r="S127" s="255" t="s">
        <v>139</v>
      </c>
      <c r="T127" s="265">
        <v>0</v>
      </c>
      <c r="U127" s="265">
        <v>0</v>
      </c>
      <c r="V127" s="265">
        <v>0</v>
      </c>
      <c r="W127" s="265">
        <v>0</v>
      </c>
      <c r="X127" s="265">
        <v>0</v>
      </c>
      <c r="AA127" s="299">
        <v>2019</v>
      </c>
      <c r="AB127" s="299">
        <v>1370</v>
      </c>
      <c r="AC127" s="300" t="s">
        <v>255</v>
      </c>
      <c r="AD127" s="299">
        <v>755</v>
      </c>
      <c r="AE127" s="299">
        <v>1</v>
      </c>
      <c r="AF127" s="307" t="s">
        <v>382</v>
      </c>
      <c r="AG127" s="307" t="s">
        <v>383</v>
      </c>
      <c r="AH127" s="307" t="s">
        <v>384</v>
      </c>
      <c r="AI127" s="308">
        <v>5854</v>
      </c>
    </row>
    <row r="128" spans="1:35" ht="16" customHeight="1">
      <c r="A128">
        <v>2017</v>
      </c>
      <c r="B128">
        <v>3050</v>
      </c>
      <c r="C128" t="s">
        <v>254</v>
      </c>
      <c r="D128" t="s">
        <v>245</v>
      </c>
      <c r="E128" s="203">
        <v>91</v>
      </c>
      <c r="F128" s="203" t="s">
        <v>246</v>
      </c>
      <c r="G128" s="203" t="s">
        <v>247</v>
      </c>
      <c r="H128" s="203" t="s">
        <v>248</v>
      </c>
      <c r="I128" s="202">
        <v>73</v>
      </c>
      <c r="J128" s="202">
        <v>15604</v>
      </c>
      <c r="K128" s="202">
        <v>132791000</v>
      </c>
      <c r="M128" s="254">
        <v>2019</v>
      </c>
      <c r="N128" s="254">
        <v>2670</v>
      </c>
      <c r="O128" s="255" t="s">
        <v>257</v>
      </c>
      <c r="P128" s="254">
        <v>410</v>
      </c>
      <c r="Q128" s="254">
        <v>210</v>
      </c>
      <c r="R128" s="255" t="s">
        <v>37</v>
      </c>
      <c r="S128" s="255" t="s">
        <v>140</v>
      </c>
      <c r="T128" s="265">
        <v>0</v>
      </c>
      <c r="U128" s="265">
        <v>0</v>
      </c>
      <c r="V128" s="265">
        <v>0</v>
      </c>
      <c r="W128" s="265">
        <v>0</v>
      </c>
      <c r="X128" s="265">
        <v>0</v>
      </c>
      <c r="AA128" s="299">
        <v>2019</v>
      </c>
      <c r="AB128" s="299">
        <v>1370</v>
      </c>
      <c r="AC128" s="300" t="s">
        <v>255</v>
      </c>
      <c r="AD128" s="299">
        <v>755</v>
      </c>
      <c r="AE128" s="299">
        <v>2</v>
      </c>
      <c r="AF128" s="294" t="s">
        <v>320</v>
      </c>
      <c r="AG128" s="294" t="s">
        <v>321</v>
      </c>
      <c r="AH128" s="294" t="s">
        <v>322</v>
      </c>
      <c r="AI128" s="301">
        <v>2415212</v>
      </c>
    </row>
    <row r="129" spans="1:35" ht="16" customHeight="1">
      <c r="A129">
        <v>2017</v>
      </c>
      <c r="B129">
        <v>3050</v>
      </c>
      <c r="C129" t="s">
        <v>254</v>
      </c>
      <c r="D129" t="s">
        <v>245</v>
      </c>
      <c r="E129" s="203">
        <v>92</v>
      </c>
      <c r="F129" s="203" t="s">
        <v>246</v>
      </c>
      <c r="G129" s="203" t="s">
        <v>247</v>
      </c>
      <c r="H129" s="204" t="s">
        <v>249</v>
      </c>
      <c r="I129" s="202">
        <v>0</v>
      </c>
      <c r="J129" s="202">
        <v>0</v>
      </c>
      <c r="K129" s="202">
        <v>0</v>
      </c>
      <c r="M129" s="254">
        <v>2019</v>
      </c>
      <c r="N129" s="254">
        <v>2670</v>
      </c>
      <c r="O129" s="255" t="s">
        <v>257</v>
      </c>
      <c r="P129" s="254">
        <v>410</v>
      </c>
      <c r="Q129" s="254">
        <v>211</v>
      </c>
      <c r="R129" s="255" t="s">
        <v>37</v>
      </c>
      <c r="S129" s="255" t="s">
        <v>141</v>
      </c>
      <c r="T129" s="265">
        <v>0</v>
      </c>
      <c r="U129" s="265">
        <v>0</v>
      </c>
      <c r="V129" s="265">
        <v>0</v>
      </c>
      <c r="W129" s="265">
        <v>0</v>
      </c>
      <c r="X129" s="265">
        <v>0</v>
      </c>
      <c r="AA129" s="299">
        <v>2019</v>
      </c>
      <c r="AB129" s="299">
        <v>1370</v>
      </c>
      <c r="AC129" s="300" t="s">
        <v>255</v>
      </c>
      <c r="AD129" s="299">
        <v>755</v>
      </c>
      <c r="AE129" s="299">
        <v>3</v>
      </c>
      <c r="AF129" s="294" t="s">
        <v>320</v>
      </c>
      <c r="AG129" s="294" t="s">
        <v>321</v>
      </c>
      <c r="AH129" s="294" t="s">
        <v>323</v>
      </c>
      <c r="AI129" s="301">
        <v>4029441</v>
      </c>
    </row>
    <row r="130" spans="1:35" ht="16" customHeight="1">
      <c r="A130">
        <v>2017</v>
      </c>
      <c r="B130">
        <v>3050</v>
      </c>
      <c r="C130" t="s">
        <v>254</v>
      </c>
      <c r="D130" t="s">
        <v>245</v>
      </c>
      <c r="E130" s="203">
        <v>93</v>
      </c>
      <c r="F130" s="203" t="s">
        <v>250</v>
      </c>
      <c r="G130" s="203" t="s">
        <v>247</v>
      </c>
      <c r="H130" s="203" t="s">
        <v>248</v>
      </c>
      <c r="I130" s="202">
        <v>1167</v>
      </c>
      <c r="J130" s="202">
        <v>47325</v>
      </c>
      <c r="K130" s="202">
        <v>123022000</v>
      </c>
      <c r="M130" s="254">
        <v>2019</v>
      </c>
      <c r="N130" s="254">
        <v>2670</v>
      </c>
      <c r="O130" s="255" t="s">
        <v>257</v>
      </c>
      <c r="P130" s="254">
        <v>410</v>
      </c>
      <c r="Q130" s="254">
        <v>212</v>
      </c>
      <c r="R130" s="255" t="s">
        <v>37</v>
      </c>
      <c r="S130" s="255" t="s">
        <v>142</v>
      </c>
      <c r="T130" s="265">
        <v>0</v>
      </c>
      <c r="U130" s="265">
        <v>0</v>
      </c>
      <c r="V130" s="265">
        <v>0</v>
      </c>
      <c r="W130" s="265">
        <v>0</v>
      </c>
      <c r="X130" s="265">
        <v>0</v>
      </c>
      <c r="AA130" s="299">
        <v>2019</v>
      </c>
      <c r="AB130" s="299">
        <v>1370</v>
      </c>
      <c r="AC130" s="300" t="s">
        <v>255</v>
      </c>
      <c r="AD130" s="299">
        <v>755</v>
      </c>
      <c r="AE130" s="299">
        <v>4</v>
      </c>
      <c r="AF130" s="294" t="s">
        <v>320</v>
      </c>
      <c r="AG130" s="294" t="s">
        <v>324</v>
      </c>
      <c r="AH130" s="294" t="s">
        <v>325</v>
      </c>
      <c r="AI130" s="301">
        <v>11439205</v>
      </c>
    </row>
    <row r="131" spans="1:35" ht="16" customHeight="1">
      <c r="A131">
        <v>2017</v>
      </c>
      <c r="B131">
        <v>3050</v>
      </c>
      <c r="C131" t="s">
        <v>254</v>
      </c>
      <c r="D131" t="s">
        <v>245</v>
      </c>
      <c r="E131" s="203">
        <v>94</v>
      </c>
      <c r="F131" s="203" t="s">
        <v>250</v>
      </c>
      <c r="G131" s="203" t="s">
        <v>247</v>
      </c>
      <c r="H131" s="204" t="s">
        <v>249</v>
      </c>
      <c r="I131" s="202">
        <v>0</v>
      </c>
      <c r="J131" s="202">
        <v>0</v>
      </c>
      <c r="K131" s="202">
        <v>0</v>
      </c>
      <c r="M131" s="254">
        <v>2019</v>
      </c>
      <c r="N131" s="254">
        <v>2670</v>
      </c>
      <c r="O131" s="255" t="s">
        <v>257</v>
      </c>
      <c r="P131" s="254">
        <v>410</v>
      </c>
      <c r="Q131" s="254">
        <v>213</v>
      </c>
      <c r="R131" s="255" t="s">
        <v>37</v>
      </c>
      <c r="S131" s="255" t="s">
        <v>145</v>
      </c>
      <c r="T131" s="265">
        <v>0</v>
      </c>
      <c r="U131" s="265">
        <v>0</v>
      </c>
      <c r="V131" s="265">
        <v>0</v>
      </c>
      <c r="W131" s="265">
        <v>165343000</v>
      </c>
      <c r="X131" s="265">
        <v>165343000</v>
      </c>
      <c r="AA131" s="299">
        <v>2019</v>
      </c>
      <c r="AB131" s="299">
        <v>1370</v>
      </c>
      <c r="AC131" s="300" t="s">
        <v>255</v>
      </c>
      <c r="AD131" s="299">
        <v>755</v>
      </c>
      <c r="AE131" s="299">
        <v>5</v>
      </c>
      <c r="AF131" s="294" t="s">
        <v>320</v>
      </c>
      <c r="AG131" s="294" t="s">
        <v>324</v>
      </c>
      <c r="AH131" s="294" t="s">
        <v>326</v>
      </c>
      <c r="AI131" s="301">
        <v>17883858</v>
      </c>
    </row>
    <row r="132" spans="1:35" ht="16" customHeight="1">
      <c r="A132">
        <v>2017</v>
      </c>
      <c r="B132">
        <v>3050</v>
      </c>
      <c r="C132" t="s">
        <v>254</v>
      </c>
      <c r="D132" t="s">
        <v>245</v>
      </c>
      <c r="E132" s="203">
        <v>97</v>
      </c>
      <c r="F132" s="203" t="s">
        <v>251</v>
      </c>
      <c r="G132" s="203" t="s">
        <v>247</v>
      </c>
      <c r="H132" s="203" t="s">
        <v>248</v>
      </c>
      <c r="I132" s="202">
        <v>0</v>
      </c>
      <c r="J132" s="202">
        <v>0</v>
      </c>
      <c r="K132" s="202">
        <v>0</v>
      </c>
      <c r="M132" s="254">
        <v>2019</v>
      </c>
      <c r="N132" s="254">
        <v>2670</v>
      </c>
      <c r="O132" s="255" t="s">
        <v>257</v>
      </c>
      <c r="P132" s="254">
        <v>410</v>
      </c>
      <c r="Q132" s="254">
        <v>214</v>
      </c>
      <c r="R132" s="255" t="s">
        <v>37</v>
      </c>
      <c r="S132" s="255" t="s">
        <v>152</v>
      </c>
      <c r="T132" s="265">
        <v>0</v>
      </c>
      <c r="U132" s="265">
        <v>0</v>
      </c>
      <c r="V132" s="265">
        <v>0</v>
      </c>
      <c r="W132" s="265">
        <v>0</v>
      </c>
      <c r="X132" s="265">
        <v>0</v>
      </c>
      <c r="AA132" s="299">
        <v>2019</v>
      </c>
      <c r="AB132" s="299">
        <v>1370</v>
      </c>
      <c r="AC132" s="300" t="s">
        <v>255</v>
      </c>
      <c r="AD132" s="299">
        <v>755</v>
      </c>
      <c r="AE132" s="299">
        <v>6</v>
      </c>
      <c r="AF132" s="294" t="s">
        <v>320</v>
      </c>
      <c r="AG132" s="294" t="s">
        <v>327</v>
      </c>
      <c r="AH132" s="294" t="s">
        <v>328</v>
      </c>
      <c r="AI132" s="301">
        <v>0</v>
      </c>
    </row>
    <row r="133" spans="1:35" ht="16" customHeight="1">
      <c r="A133">
        <v>2017</v>
      </c>
      <c r="B133">
        <v>3050</v>
      </c>
      <c r="C133" t="s">
        <v>254</v>
      </c>
      <c r="D133" t="s">
        <v>245</v>
      </c>
      <c r="E133" s="203">
        <v>98</v>
      </c>
      <c r="F133" s="203" t="s">
        <v>251</v>
      </c>
      <c r="G133" s="203" t="s">
        <v>247</v>
      </c>
      <c r="H133" s="204" t="s">
        <v>249</v>
      </c>
      <c r="I133" s="202">
        <v>0</v>
      </c>
      <c r="J133" s="202">
        <v>0</v>
      </c>
      <c r="K133" s="202">
        <v>0</v>
      </c>
      <c r="M133" s="254">
        <v>2019</v>
      </c>
      <c r="N133" s="254">
        <v>2670</v>
      </c>
      <c r="O133" s="255" t="s">
        <v>257</v>
      </c>
      <c r="P133" s="254">
        <v>410</v>
      </c>
      <c r="Q133" s="254">
        <v>215</v>
      </c>
      <c r="R133" s="255" t="s">
        <v>37</v>
      </c>
      <c r="S133" s="255" t="s">
        <v>153</v>
      </c>
      <c r="T133" s="265">
        <v>0</v>
      </c>
      <c r="U133" s="265">
        <v>0</v>
      </c>
      <c r="V133" s="265">
        <v>0</v>
      </c>
      <c r="W133" s="265">
        <v>0</v>
      </c>
      <c r="X133" s="265">
        <v>0</v>
      </c>
      <c r="AA133" s="299">
        <v>2019</v>
      </c>
      <c r="AB133" s="299">
        <v>1370</v>
      </c>
      <c r="AC133" s="300" t="s">
        <v>255</v>
      </c>
      <c r="AD133" s="299">
        <v>755</v>
      </c>
      <c r="AE133" s="299">
        <v>7</v>
      </c>
      <c r="AF133" s="294" t="s">
        <v>320</v>
      </c>
      <c r="AG133" s="294" t="s">
        <v>324</v>
      </c>
      <c r="AH133" s="294" t="s">
        <v>329</v>
      </c>
      <c r="AI133" s="301">
        <v>17883858</v>
      </c>
    </row>
    <row r="134" spans="1:35" ht="16" customHeight="1">
      <c r="A134">
        <v>2017</v>
      </c>
      <c r="B134">
        <v>1370</v>
      </c>
      <c r="C134" t="s">
        <v>255</v>
      </c>
      <c r="D134" t="s">
        <v>245</v>
      </c>
      <c r="E134" s="203">
        <v>91</v>
      </c>
      <c r="F134" s="203" t="s">
        <v>246</v>
      </c>
      <c r="G134" s="203" t="s">
        <v>247</v>
      </c>
      <c r="H134" s="203" t="s">
        <v>248</v>
      </c>
      <c r="I134" s="202">
        <v>22</v>
      </c>
      <c r="J134" s="202">
        <v>4105</v>
      </c>
      <c r="K134" s="202">
        <v>54669000</v>
      </c>
      <c r="M134" s="254">
        <v>2019</v>
      </c>
      <c r="N134" s="254">
        <v>2670</v>
      </c>
      <c r="O134" s="255" t="s">
        <v>257</v>
      </c>
      <c r="P134" s="254">
        <v>410</v>
      </c>
      <c r="Q134" s="254">
        <v>216</v>
      </c>
      <c r="R134" s="255" t="s">
        <v>37</v>
      </c>
      <c r="S134" s="255" t="s">
        <v>202</v>
      </c>
      <c r="T134" s="265">
        <v>0</v>
      </c>
      <c r="U134" s="265">
        <v>0</v>
      </c>
      <c r="V134" s="265">
        <v>0</v>
      </c>
      <c r="W134" s="265">
        <v>0</v>
      </c>
      <c r="X134" s="265">
        <v>0</v>
      </c>
      <c r="AA134" s="299">
        <v>2019</v>
      </c>
      <c r="AB134" s="299">
        <v>1370</v>
      </c>
      <c r="AC134" s="300" t="s">
        <v>255</v>
      </c>
      <c r="AD134" s="299">
        <v>755</v>
      </c>
      <c r="AE134" s="299">
        <v>8</v>
      </c>
      <c r="AF134" s="294" t="s">
        <v>330</v>
      </c>
      <c r="AG134" s="294" t="s">
        <v>331</v>
      </c>
      <c r="AH134" s="294" t="s">
        <v>322</v>
      </c>
      <c r="AI134" s="301">
        <v>6111227</v>
      </c>
    </row>
    <row r="135" spans="1:35" ht="16" customHeight="1">
      <c r="A135">
        <v>2017</v>
      </c>
      <c r="B135">
        <v>1370</v>
      </c>
      <c r="C135" t="s">
        <v>255</v>
      </c>
      <c r="D135" t="s">
        <v>245</v>
      </c>
      <c r="E135" s="203">
        <v>92</v>
      </c>
      <c r="F135" s="203" t="s">
        <v>246</v>
      </c>
      <c r="G135" s="203" t="s">
        <v>247</v>
      </c>
      <c r="H135" s="204" t="s">
        <v>249</v>
      </c>
      <c r="I135" s="202">
        <v>0</v>
      </c>
      <c r="J135" s="202">
        <v>0</v>
      </c>
      <c r="K135" s="202">
        <v>0</v>
      </c>
      <c r="M135" s="254">
        <v>2019</v>
      </c>
      <c r="N135" s="254">
        <v>2670</v>
      </c>
      <c r="O135" s="255" t="s">
        <v>257</v>
      </c>
      <c r="P135" s="254">
        <v>410</v>
      </c>
      <c r="Q135" s="254">
        <v>217</v>
      </c>
      <c r="R135" s="255" t="s">
        <v>37</v>
      </c>
      <c r="S135" s="255" t="s">
        <v>156</v>
      </c>
      <c r="T135" s="265">
        <v>0</v>
      </c>
      <c r="U135" s="265">
        <v>0</v>
      </c>
      <c r="V135" s="265">
        <v>0</v>
      </c>
      <c r="W135" s="265">
        <v>0</v>
      </c>
      <c r="X135" s="265">
        <v>0</v>
      </c>
      <c r="AA135" s="299">
        <v>2019</v>
      </c>
      <c r="AB135" s="299">
        <v>1370</v>
      </c>
      <c r="AC135" s="300" t="s">
        <v>255</v>
      </c>
      <c r="AD135" s="299">
        <v>755</v>
      </c>
      <c r="AE135" s="299">
        <v>9</v>
      </c>
      <c r="AF135" s="294" t="s">
        <v>330</v>
      </c>
      <c r="AG135" s="294" t="s">
        <v>331</v>
      </c>
      <c r="AH135" s="294" t="s">
        <v>323</v>
      </c>
      <c r="AI135" s="301">
        <v>6869281</v>
      </c>
    </row>
    <row r="136" spans="1:35" ht="16" customHeight="1">
      <c r="A136">
        <v>2017</v>
      </c>
      <c r="B136">
        <v>1370</v>
      </c>
      <c r="C136" t="s">
        <v>255</v>
      </c>
      <c r="D136" t="s">
        <v>245</v>
      </c>
      <c r="E136" s="203">
        <v>93</v>
      </c>
      <c r="F136" s="203" t="s">
        <v>250</v>
      </c>
      <c r="G136" s="203" t="s">
        <v>247</v>
      </c>
      <c r="H136" s="203" t="s">
        <v>248</v>
      </c>
      <c r="I136" s="202">
        <v>0</v>
      </c>
      <c r="J136" s="202">
        <v>0</v>
      </c>
      <c r="K136" s="202">
        <v>0</v>
      </c>
      <c r="M136" s="254">
        <v>2019</v>
      </c>
      <c r="N136" s="254">
        <v>2670</v>
      </c>
      <c r="O136" s="255" t="s">
        <v>257</v>
      </c>
      <c r="P136" s="254">
        <v>410</v>
      </c>
      <c r="Q136" s="254">
        <v>218</v>
      </c>
      <c r="R136" s="255" t="s">
        <v>37</v>
      </c>
      <c r="S136" s="255" t="s">
        <v>158</v>
      </c>
      <c r="T136" s="265">
        <v>0</v>
      </c>
      <c r="U136" s="265">
        <v>1135000</v>
      </c>
      <c r="V136" s="265">
        <v>15960000</v>
      </c>
      <c r="W136" s="265">
        <v>0</v>
      </c>
      <c r="X136" s="265">
        <v>17095000</v>
      </c>
      <c r="AA136" s="299">
        <v>2019</v>
      </c>
      <c r="AB136" s="299">
        <v>1370</v>
      </c>
      <c r="AC136" s="300" t="s">
        <v>255</v>
      </c>
      <c r="AD136" s="299">
        <v>755</v>
      </c>
      <c r="AE136" s="299">
        <v>10</v>
      </c>
      <c r="AF136" s="294" t="s">
        <v>330</v>
      </c>
      <c r="AG136" s="294" t="s">
        <v>332</v>
      </c>
      <c r="AH136" s="294" t="s">
        <v>325</v>
      </c>
      <c r="AI136" s="301">
        <v>25250816</v>
      </c>
    </row>
    <row r="137" spans="1:35" ht="16" customHeight="1">
      <c r="A137">
        <v>2017</v>
      </c>
      <c r="B137">
        <v>1370</v>
      </c>
      <c r="C137" t="s">
        <v>255</v>
      </c>
      <c r="D137" t="s">
        <v>245</v>
      </c>
      <c r="E137" s="203">
        <v>94</v>
      </c>
      <c r="F137" s="203" t="s">
        <v>250</v>
      </c>
      <c r="G137" s="203" t="s">
        <v>247</v>
      </c>
      <c r="H137" s="204" t="s">
        <v>249</v>
      </c>
      <c r="I137" s="202">
        <v>0</v>
      </c>
      <c r="J137" s="202">
        <v>0</v>
      </c>
      <c r="K137" s="202">
        <v>0</v>
      </c>
      <c r="M137" s="254">
        <v>2019</v>
      </c>
      <c r="N137" s="254">
        <v>1550</v>
      </c>
      <c r="O137" s="255" t="s">
        <v>258</v>
      </c>
      <c r="P137" s="254">
        <v>410</v>
      </c>
      <c r="Q137" s="254">
        <v>201</v>
      </c>
      <c r="R137" s="255" t="s">
        <v>37</v>
      </c>
      <c r="S137" s="255" t="s">
        <v>203</v>
      </c>
      <c r="T137" s="265">
        <v>8727000</v>
      </c>
      <c r="U137" s="265">
        <v>268000</v>
      </c>
      <c r="V137" s="265">
        <v>2543000</v>
      </c>
      <c r="W137" s="265">
        <v>544000</v>
      </c>
      <c r="X137" s="265">
        <v>12082000</v>
      </c>
      <c r="AA137" s="299">
        <v>2019</v>
      </c>
      <c r="AB137" s="299">
        <v>1370</v>
      </c>
      <c r="AC137" s="300" t="s">
        <v>255</v>
      </c>
      <c r="AD137" s="299">
        <v>755</v>
      </c>
      <c r="AE137" s="299">
        <v>11</v>
      </c>
      <c r="AF137" s="294" t="s">
        <v>330</v>
      </c>
      <c r="AG137" s="294" t="s">
        <v>332</v>
      </c>
      <c r="AH137" s="294" t="s">
        <v>333</v>
      </c>
      <c r="AI137" s="301">
        <v>38231324</v>
      </c>
    </row>
    <row r="138" spans="1:35" ht="16" customHeight="1">
      <c r="A138">
        <v>2017</v>
      </c>
      <c r="B138">
        <v>1370</v>
      </c>
      <c r="C138" t="s">
        <v>255</v>
      </c>
      <c r="D138" t="s">
        <v>245</v>
      </c>
      <c r="E138" s="203">
        <v>95</v>
      </c>
      <c r="F138" s="203" t="s">
        <v>251</v>
      </c>
      <c r="G138" s="203" t="s">
        <v>247</v>
      </c>
      <c r="H138" s="203" t="s">
        <v>248</v>
      </c>
      <c r="I138" s="202">
        <v>0</v>
      </c>
      <c r="J138" s="202">
        <v>0</v>
      </c>
      <c r="K138" s="202">
        <v>0</v>
      </c>
      <c r="M138" s="254">
        <v>2019</v>
      </c>
      <c r="N138" s="254">
        <v>1550</v>
      </c>
      <c r="O138" s="255" t="s">
        <v>258</v>
      </c>
      <c r="P138" s="254">
        <v>410</v>
      </c>
      <c r="Q138" s="254">
        <v>202</v>
      </c>
      <c r="R138" s="255" t="s">
        <v>37</v>
      </c>
      <c r="S138" s="255" t="s">
        <v>197</v>
      </c>
      <c r="T138" s="265">
        <v>106751000</v>
      </c>
      <c r="U138" s="265">
        <v>170997000</v>
      </c>
      <c r="V138" s="265">
        <v>23053000</v>
      </c>
      <c r="W138" s="265">
        <v>71000</v>
      </c>
      <c r="X138" s="265">
        <v>300872000</v>
      </c>
      <c r="AA138" s="299">
        <v>2019</v>
      </c>
      <c r="AB138" s="299">
        <v>1370</v>
      </c>
      <c r="AC138" s="300" t="s">
        <v>255</v>
      </c>
      <c r="AD138" s="299">
        <v>755</v>
      </c>
      <c r="AE138" s="299">
        <v>12</v>
      </c>
      <c r="AF138" s="294" t="s">
        <v>330</v>
      </c>
      <c r="AG138" s="294" t="s">
        <v>334</v>
      </c>
      <c r="AH138" s="294" t="s">
        <v>335</v>
      </c>
      <c r="AI138" s="301">
        <v>2423065</v>
      </c>
    </row>
    <row r="139" spans="1:35" ht="16" customHeight="1">
      <c r="A139">
        <v>2017</v>
      </c>
      <c r="B139">
        <v>1370</v>
      </c>
      <c r="C139" t="s">
        <v>255</v>
      </c>
      <c r="D139" t="s">
        <v>245</v>
      </c>
      <c r="E139" s="203">
        <v>96</v>
      </c>
      <c r="F139" s="203" t="s">
        <v>251</v>
      </c>
      <c r="G139" s="203" t="s">
        <v>247</v>
      </c>
      <c r="H139" s="204" t="s">
        <v>249</v>
      </c>
      <c r="I139" s="202">
        <v>0</v>
      </c>
      <c r="J139" s="202">
        <v>0</v>
      </c>
      <c r="K139" s="202">
        <v>0</v>
      </c>
      <c r="M139" s="254">
        <v>2019</v>
      </c>
      <c r="N139" s="254">
        <v>1550</v>
      </c>
      <c r="O139" s="255" t="s">
        <v>258</v>
      </c>
      <c r="P139" s="254">
        <v>410</v>
      </c>
      <c r="Q139" s="254">
        <v>203</v>
      </c>
      <c r="R139" s="255" t="s">
        <v>37</v>
      </c>
      <c r="S139" s="255" t="s">
        <v>198</v>
      </c>
      <c r="T139" s="265">
        <v>4224000</v>
      </c>
      <c r="U139" s="265">
        <v>1629000</v>
      </c>
      <c r="V139" s="265">
        <v>1656000</v>
      </c>
      <c r="W139" s="265">
        <v>0</v>
      </c>
      <c r="X139" s="265">
        <v>7509000</v>
      </c>
      <c r="AA139" s="299">
        <v>2019</v>
      </c>
      <c r="AB139" s="299">
        <v>1370</v>
      </c>
      <c r="AC139" s="300" t="s">
        <v>255</v>
      </c>
      <c r="AD139" s="299">
        <v>755</v>
      </c>
      <c r="AE139" s="299">
        <v>13</v>
      </c>
      <c r="AF139" s="294" t="s">
        <v>330</v>
      </c>
      <c r="AG139" s="294" t="s">
        <v>336</v>
      </c>
      <c r="AH139" s="294" t="s">
        <v>308</v>
      </c>
      <c r="AI139" s="301">
        <v>3256944</v>
      </c>
    </row>
    <row r="140" spans="1:35" ht="16" customHeight="1">
      <c r="A140">
        <v>2017</v>
      </c>
      <c r="B140">
        <v>2670</v>
      </c>
      <c r="C140" t="s">
        <v>257</v>
      </c>
      <c r="D140" t="s">
        <v>245</v>
      </c>
      <c r="E140" s="203">
        <v>91</v>
      </c>
      <c r="F140" s="203" t="s">
        <v>246</v>
      </c>
      <c r="G140" s="203" t="s">
        <v>247</v>
      </c>
      <c r="H140" s="203" t="s">
        <v>248</v>
      </c>
      <c r="I140" s="202">
        <v>0</v>
      </c>
      <c r="J140" s="202">
        <v>0</v>
      </c>
      <c r="K140" s="202">
        <v>0</v>
      </c>
      <c r="M140" s="254">
        <v>2019</v>
      </c>
      <c r="N140" s="254">
        <v>1550</v>
      </c>
      <c r="O140" s="255" t="s">
        <v>258</v>
      </c>
      <c r="P140" s="254">
        <v>410</v>
      </c>
      <c r="Q140" s="254">
        <v>204</v>
      </c>
      <c r="R140" s="255" t="s">
        <v>37</v>
      </c>
      <c r="S140" s="255" t="s">
        <v>199</v>
      </c>
      <c r="T140" s="265">
        <v>94000</v>
      </c>
      <c r="U140" s="265">
        <v>102000</v>
      </c>
      <c r="V140" s="265">
        <v>0</v>
      </c>
      <c r="W140" s="265">
        <v>0</v>
      </c>
      <c r="X140" s="265">
        <v>196000</v>
      </c>
      <c r="AA140" s="299">
        <v>2019</v>
      </c>
      <c r="AB140" s="299">
        <v>1370</v>
      </c>
      <c r="AC140" s="300" t="s">
        <v>255</v>
      </c>
      <c r="AD140" s="299">
        <v>755</v>
      </c>
      <c r="AE140" s="299">
        <v>14</v>
      </c>
      <c r="AF140" s="294" t="s">
        <v>330</v>
      </c>
      <c r="AG140" s="294" t="s">
        <v>337</v>
      </c>
      <c r="AH140" s="294" t="s">
        <v>338</v>
      </c>
      <c r="AI140" s="301">
        <v>43911333</v>
      </c>
    </row>
    <row r="141" spans="1:35" ht="16" customHeight="1">
      <c r="A141">
        <v>2017</v>
      </c>
      <c r="B141">
        <v>2670</v>
      </c>
      <c r="C141" t="s">
        <v>257</v>
      </c>
      <c r="D141" t="s">
        <v>245</v>
      </c>
      <c r="E141" s="203">
        <v>92</v>
      </c>
      <c r="F141" s="203" t="s">
        <v>246</v>
      </c>
      <c r="G141" s="203" t="s">
        <v>247</v>
      </c>
      <c r="H141" s="204" t="s">
        <v>249</v>
      </c>
      <c r="I141" s="202">
        <v>0</v>
      </c>
      <c r="J141" s="202">
        <v>0</v>
      </c>
      <c r="K141" s="202">
        <v>0</v>
      </c>
      <c r="M141" s="254">
        <v>2019</v>
      </c>
      <c r="N141" s="254">
        <v>1550</v>
      </c>
      <c r="O141" s="255" t="s">
        <v>258</v>
      </c>
      <c r="P141" s="254">
        <v>410</v>
      </c>
      <c r="Q141" s="254">
        <v>205</v>
      </c>
      <c r="R141" s="255" t="s">
        <v>37</v>
      </c>
      <c r="S141" s="255" t="s">
        <v>200</v>
      </c>
      <c r="T141" s="265">
        <v>0</v>
      </c>
      <c r="U141" s="265">
        <v>0</v>
      </c>
      <c r="V141" s="265">
        <v>0</v>
      </c>
      <c r="W141" s="265">
        <v>58007000</v>
      </c>
      <c r="X141" s="265">
        <v>58007000</v>
      </c>
      <c r="AA141" s="299">
        <v>2019</v>
      </c>
      <c r="AB141" s="299">
        <v>1370</v>
      </c>
      <c r="AC141" s="300" t="s">
        <v>255</v>
      </c>
      <c r="AD141" s="299">
        <v>755</v>
      </c>
      <c r="AE141" s="299">
        <v>15</v>
      </c>
      <c r="AF141" s="294" t="s">
        <v>385</v>
      </c>
      <c r="AG141" s="294" t="s">
        <v>386</v>
      </c>
      <c r="AH141" s="294" t="s">
        <v>387</v>
      </c>
      <c r="AI141" s="301">
        <v>0</v>
      </c>
    </row>
    <row r="142" spans="1:35" ht="16" customHeight="1">
      <c r="A142">
        <v>2017</v>
      </c>
      <c r="B142">
        <v>2670</v>
      </c>
      <c r="C142" t="s">
        <v>257</v>
      </c>
      <c r="D142" t="s">
        <v>245</v>
      </c>
      <c r="E142" s="203">
        <v>93</v>
      </c>
      <c r="F142" s="203" t="s">
        <v>250</v>
      </c>
      <c r="G142" s="203" t="s">
        <v>247</v>
      </c>
      <c r="H142" s="203" t="s">
        <v>248</v>
      </c>
      <c r="I142" s="202">
        <v>0</v>
      </c>
      <c r="J142" s="202">
        <v>0</v>
      </c>
      <c r="K142" s="202">
        <v>0</v>
      </c>
      <c r="M142" s="254">
        <v>2019</v>
      </c>
      <c r="N142" s="254">
        <v>1550</v>
      </c>
      <c r="O142" s="255" t="s">
        <v>258</v>
      </c>
      <c r="P142" s="254">
        <v>410</v>
      </c>
      <c r="Q142" s="254">
        <v>206</v>
      </c>
      <c r="R142" s="255" t="s">
        <v>37</v>
      </c>
      <c r="S142" s="255" t="s">
        <v>201</v>
      </c>
      <c r="T142" s="265">
        <v>0</v>
      </c>
      <c r="U142" s="265">
        <v>0</v>
      </c>
      <c r="V142" s="265">
        <v>0</v>
      </c>
      <c r="W142" s="265">
        <v>9820000</v>
      </c>
      <c r="X142" s="265">
        <v>9820000</v>
      </c>
      <c r="AA142" s="299">
        <v>2019</v>
      </c>
      <c r="AB142" s="299">
        <v>1370</v>
      </c>
      <c r="AC142" s="300" t="s">
        <v>255</v>
      </c>
      <c r="AD142" s="299">
        <v>755</v>
      </c>
      <c r="AE142" s="299">
        <v>16</v>
      </c>
      <c r="AF142" s="294" t="s">
        <v>385</v>
      </c>
      <c r="AG142" s="294" t="s">
        <v>386</v>
      </c>
      <c r="AH142" s="294" t="s">
        <v>388</v>
      </c>
      <c r="AI142" s="301">
        <v>4176000</v>
      </c>
    </row>
    <row r="143" spans="1:35" ht="16" customHeight="1">
      <c r="A143">
        <v>2017</v>
      </c>
      <c r="B143">
        <v>2670</v>
      </c>
      <c r="C143" t="s">
        <v>257</v>
      </c>
      <c r="D143" t="s">
        <v>245</v>
      </c>
      <c r="E143" s="203">
        <v>94</v>
      </c>
      <c r="F143" s="203" t="s">
        <v>250</v>
      </c>
      <c r="G143" s="203" t="s">
        <v>247</v>
      </c>
      <c r="H143" s="204" t="s">
        <v>249</v>
      </c>
      <c r="I143" s="202">
        <v>0</v>
      </c>
      <c r="J143" s="202">
        <v>0</v>
      </c>
      <c r="K143" s="202">
        <v>0</v>
      </c>
      <c r="M143" s="254">
        <v>2019</v>
      </c>
      <c r="N143" s="254">
        <v>1550</v>
      </c>
      <c r="O143" s="255" t="s">
        <v>258</v>
      </c>
      <c r="P143" s="254">
        <v>410</v>
      </c>
      <c r="Q143" s="254">
        <v>207</v>
      </c>
      <c r="R143" s="255" t="s">
        <v>37</v>
      </c>
      <c r="S143" s="255" t="s">
        <v>137</v>
      </c>
      <c r="T143" s="265">
        <v>0</v>
      </c>
      <c r="U143" s="265">
        <v>0</v>
      </c>
      <c r="V143" s="265">
        <v>1605000</v>
      </c>
      <c r="W143" s="265">
        <v>0</v>
      </c>
      <c r="X143" s="265">
        <v>1605000</v>
      </c>
      <c r="AA143" s="299">
        <v>2019</v>
      </c>
      <c r="AB143" s="299">
        <v>1370</v>
      </c>
      <c r="AC143" s="300" t="s">
        <v>255</v>
      </c>
      <c r="AD143" s="299">
        <v>755</v>
      </c>
      <c r="AE143" s="299">
        <v>17</v>
      </c>
      <c r="AF143" s="294" t="s">
        <v>385</v>
      </c>
      <c r="AG143" s="294" t="s">
        <v>386</v>
      </c>
      <c r="AH143" s="294" t="s">
        <v>389</v>
      </c>
      <c r="AI143" s="301">
        <v>39109000</v>
      </c>
    </row>
    <row r="144" spans="1:35" ht="16" customHeight="1">
      <c r="A144">
        <v>2017</v>
      </c>
      <c r="B144">
        <v>2670</v>
      </c>
      <c r="C144" t="s">
        <v>257</v>
      </c>
      <c r="D144" t="s">
        <v>245</v>
      </c>
      <c r="E144" s="203">
        <v>97</v>
      </c>
      <c r="F144" s="203" t="s">
        <v>251</v>
      </c>
      <c r="G144" s="203" t="s">
        <v>247</v>
      </c>
      <c r="H144" s="203" t="s">
        <v>248</v>
      </c>
      <c r="I144" s="202">
        <v>0</v>
      </c>
      <c r="J144" s="202">
        <v>0</v>
      </c>
      <c r="K144" s="202">
        <v>0</v>
      </c>
      <c r="M144" s="254">
        <v>2019</v>
      </c>
      <c r="N144" s="254">
        <v>1550</v>
      </c>
      <c r="O144" s="255" t="s">
        <v>258</v>
      </c>
      <c r="P144" s="254">
        <v>410</v>
      </c>
      <c r="Q144" s="254">
        <v>208</v>
      </c>
      <c r="R144" s="255" t="s">
        <v>37</v>
      </c>
      <c r="S144" s="255" t="s">
        <v>138</v>
      </c>
      <c r="T144" s="265">
        <v>0</v>
      </c>
      <c r="U144" s="265">
        <v>0</v>
      </c>
      <c r="V144" s="265">
        <v>-8459000</v>
      </c>
      <c r="W144" s="265">
        <v>0</v>
      </c>
      <c r="X144" s="265">
        <v>-8459000</v>
      </c>
      <c r="AA144" s="299">
        <v>2019</v>
      </c>
      <c r="AB144" s="299">
        <v>1370</v>
      </c>
      <c r="AC144" s="300" t="s">
        <v>255</v>
      </c>
      <c r="AD144" s="299">
        <v>755</v>
      </c>
      <c r="AE144" s="299">
        <v>18</v>
      </c>
      <c r="AF144" s="294" t="s">
        <v>385</v>
      </c>
      <c r="AG144" s="294" t="s">
        <v>386</v>
      </c>
      <c r="AH144" s="294" t="s">
        <v>390</v>
      </c>
      <c r="AI144" s="301">
        <v>6258000</v>
      </c>
    </row>
    <row r="145" spans="1:35" ht="16" customHeight="1">
      <c r="A145">
        <v>2017</v>
      </c>
      <c r="B145">
        <v>2670</v>
      </c>
      <c r="C145" t="s">
        <v>257</v>
      </c>
      <c r="D145" t="s">
        <v>245</v>
      </c>
      <c r="E145" s="203">
        <v>98</v>
      </c>
      <c r="F145" s="203" t="s">
        <v>251</v>
      </c>
      <c r="G145" s="203" t="s">
        <v>247</v>
      </c>
      <c r="H145" s="204" t="s">
        <v>249</v>
      </c>
      <c r="I145" s="202">
        <v>0</v>
      </c>
      <c r="J145" s="202">
        <v>0</v>
      </c>
      <c r="K145" s="202">
        <v>0</v>
      </c>
      <c r="M145" s="254">
        <v>2019</v>
      </c>
      <c r="N145" s="254">
        <v>1550</v>
      </c>
      <c r="O145" s="255" t="s">
        <v>258</v>
      </c>
      <c r="P145" s="254">
        <v>410</v>
      </c>
      <c r="Q145" s="254">
        <v>209</v>
      </c>
      <c r="R145" s="255" t="s">
        <v>37</v>
      </c>
      <c r="S145" s="255" t="s">
        <v>139</v>
      </c>
      <c r="T145" s="265">
        <v>0</v>
      </c>
      <c r="U145" s="265">
        <v>0</v>
      </c>
      <c r="V145" s="265">
        <v>0</v>
      </c>
      <c r="W145" s="265">
        <v>0</v>
      </c>
      <c r="X145" s="265">
        <v>0</v>
      </c>
      <c r="AA145" s="299">
        <v>2019</v>
      </c>
      <c r="AB145" s="299">
        <v>1370</v>
      </c>
      <c r="AC145" s="300" t="s">
        <v>255</v>
      </c>
      <c r="AD145" s="299">
        <v>755</v>
      </c>
      <c r="AE145" s="299">
        <v>19</v>
      </c>
      <c r="AF145" s="294" t="s">
        <v>385</v>
      </c>
      <c r="AG145" s="294" t="s">
        <v>386</v>
      </c>
      <c r="AH145" s="294" t="s">
        <v>391</v>
      </c>
      <c r="AI145" s="301">
        <v>12080000</v>
      </c>
    </row>
    <row r="146" spans="1:35" ht="16" customHeight="1">
      <c r="A146">
        <v>2017</v>
      </c>
      <c r="B146">
        <v>1550</v>
      </c>
      <c r="C146" t="s">
        <v>258</v>
      </c>
      <c r="D146" t="s">
        <v>245</v>
      </c>
      <c r="E146" s="203">
        <v>91</v>
      </c>
      <c r="F146" s="203" t="s">
        <v>246</v>
      </c>
      <c r="G146" s="203" t="s">
        <v>247</v>
      </c>
      <c r="H146" s="203" t="s">
        <v>248</v>
      </c>
      <c r="I146" s="202">
        <v>53</v>
      </c>
      <c r="J146" s="202">
        <v>11313</v>
      </c>
      <c r="K146" s="202">
        <v>141107000</v>
      </c>
      <c r="M146" s="254">
        <v>2019</v>
      </c>
      <c r="N146" s="254">
        <v>1550</v>
      </c>
      <c r="O146" s="255" t="s">
        <v>258</v>
      </c>
      <c r="P146" s="254">
        <v>410</v>
      </c>
      <c r="Q146" s="254">
        <v>210</v>
      </c>
      <c r="R146" s="255" t="s">
        <v>37</v>
      </c>
      <c r="S146" s="255" t="s">
        <v>140</v>
      </c>
      <c r="T146" s="265">
        <v>0</v>
      </c>
      <c r="U146" s="265">
        <v>0</v>
      </c>
      <c r="V146" s="265">
        <v>0</v>
      </c>
      <c r="W146" s="265">
        <v>0</v>
      </c>
      <c r="X146" s="265">
        <v>0</v>
      </c>
      <c r="AA146" s="299">
        <v>2019</v>
      </c>
      <c r="AB146" s="299">
        <v>1370</v>
      </c>
      <c r="AC146" s="300" t="s">
        <v>255</v>
      </c>
      <c r="AD146" s="299">
        <v>755</v>
      </c>
      <c r="AE146" s="299">
        <v>20</v>
      </c>
      <c r="AF146" s="294" t="s">
        <v>385</v>
      </c>
      <c r="AG146" s="294" t="s">
        <v>386</v>
      </c>
      <c r="AH146" s="294" t="s">
        <v>392</v>
      </c>
      <c r="AI146" s="301">
        <v>24885000</v>
      </c>
    </row>
    <row r="147" spans="1:35" ht="16" customHeight="1">
      <c r="A147">
        <v>2017</v>
      </c>
      <c r="B147">
        <v>1550</v>
      </c>
      <c r="C147" t="s">
        <v>258</v>
      </c>
      <c r="D147" t="s">
        <v>245</v>
      </c>
      <c r="E147" s="203">
        <v>92</v>
      </c>
      <c r="F147" s="203" t="s">
        <v>246</v>
      </c>
      <c r="G147" s="203" t="s">
        <v>247</v>
      </c>
      <c r="H147" s="204" t="s">
        <v>249</v>
      </c>
      <c r="I147" s="202">
        <v>112</v>
      </c>
      <c r="J147" s="202">
        <v>23054</v>
      </c>
      <c r="K147" s="202">
        <v>163136000</v>
      </c>
      <c r="M147" s="254">
        <v>2019</v>
      </c>
      <c r="N147" s="254">
        <v>1550</v>
      </c>
      <c r="O147" s="255" t="s">
        <v>258</v>
      </c>
      <c r="P147" s="254">
        <v>410</v>
      </c>
      <c r="Q147" s="254">
        <v>211</v>
      </c>
      <c r="R147" s="255" t="s">
        <v>37</v>
      </c>
      <c r="S147" s="255" t="s">
        <v>141</v>
      </c>
      <c r="T147" s="265">
        <v>0</v>
      </c>
      <c r="U147" s="265">
        <v>0</v>
      </c>
      <c r="V147" s="265">
        <v>223000</v>
      </c>
      <c r="W147" s="265">
        <v>0</v>
      </c>
      <c r="X147" s="265">
        <v>223000</v>
      </c>
      <c r="AA147" s="299">
        <v>2019</v>
      </c>
      <c r="AB147" s="299">
        <v>1370</v>
      </c>
      <c r="AC147" s="300" t="s">
        <v>255</v>
      </c>
      <c r="AD147" s="299">
        <v>755</v>
      </c>
      <c r="AE147" s="299">
        <v>21</v>
      </c>
      <c r="AF147" s="294" t="s">
        <v>385</v>
      </c>
      <c r="AG147" s="294" t="s">
        <v>386</v>
      </c>
      <c r="AH147" s="294" t="s">
        <v>393</v>
      </c>
      <c r="AI147" s="301">
        <v>5223000</v>
      </c>
    </row>
    <row r="148" spans="1:35" ht="16" customHeight="1">
      <c r="A148">
        <v>2017</v>
      </c>
      <c r="B148">
        <v>1550</v>
      </c>
      <c r="C148" t="s">
        <v>258</v>
      </c>
      <c r="D148" t="s">
        <v>245</v>
      </c>
      <c r="E148" s="203">
        <v>93</v>
      </c>
      <c r="F148" s="203" t="s">
        <v>250</v>
      </c>
      <c r="G148" s="203" t="s">
        <v>247</v>
      </c>
      <c r="H148" s="203" t="s">
        <v>248</v>
      </c>
      <c r="I148" s="202">
        <v>470</v>
      </c>
      <c r="J148" s="202">
        <v>14900</v>
      </c>
      <c r="K148" s="202">
        <v>43166000</v>
      </c>
      <c r="M148" s="254">
        <v>2019</v>
      </c>
      <c r="N148" s="254">
        <v>1550</v>
      </c>
      <c r="O148" s="255" t="s">
        <v>258</v>
      </c>
      <c r="P148" s="254">
        <v>410</v>
      </c>
      <c r="Q148" s="254">
        <v>212</v>
      </c>
      <c r="R148" s="255" t="s">
        <v>37</v>
      </c>
      <c r="S148" s="255" t="s">
        <v>142</v>
      </c>
      <c r="T148" s="265">
        <v>0</v>
      </c>
      <c r="U148" s="265">
        <v>0</v>
      </c>
      <c r="V148" s="265">
        <v>0</v>
      </c>
      <c r="W148" s="265">
        <v>0</v>
      </c>
      <c r="X148" s="265">
        <v>0</v>
      </c>
      <c r="AA148" s="299">
        <v>2019</v>
      </c>
      <c r="AB148" s="299">
        <v>1370</v>
      </c>
      <c r="AC148" s="300" t="s">
        <v>255</v>
      </c>
      <c r="AD148" s="299">
        <v>755</v>
      </c>
      <c r="AE148" s="299">
        <v>22</v>
      </c>
      <c r="AF148" s="294" t="s">
        <v>385</v>
      </c>
      <c r="AG148" s="294" t="s">
        <v>386</v>
      </c>
      <c r="AH148" s="294" t="s">
        <v>394</v>
      </c>
      <c r="AI148" s="301">
        <v>27133000</v>
      </c>
    </row>
    <row r="149" spans="1:35" ht="16" customHeight="1">
      <c r="A149">
        <v>2017</v>
      </c>
      <c r="B149">
        <v>1550</v>
      </c>
      <c r="C149" t="s">
        <v>258</v>
      </c>
      <c r="D149" t="s">
        <v>245</v>
      </c>
      <c r="E149" s="203">
        <v>94</v>
      </c>
      <c r="F149" s="203" t="s">
        <v>250</v>
      </c>
      <c r="G149" s="203" t="s">
        <v>247</v>
      </c>
      <c r="H149" s="203" t="s">
        <v>249</v>
      </c>
      <c r="I149" s="202">
        <v>0</v>
      </c>
      <c r="J149" s="202">
        <v>0</v>
      </c>
      <c r="K149" s="202">
        <v>0</v>
      </c>
      <c r="M149" s="254">
        <v>2019</v>
      </c>
      <c r="N149" s="254">
        <v>1550</v>
      </c>
      <c r="O149" s="255" t="s">
        <v>258</v>
      </c>
      <c r="P149" s="254">
        <v>410</v>
      </c>
      <c r="Q149" s="254">
        <v>213</v>
      </c>
      <c r="R149" s="255" t="s">
        <v>37</v>
      </c>
      <c r="S149" s="255" t="s">
        <v>145</v>
      </c>
      <c r="T149" s="265">
        <v>0</v>
      </c>
      <c r="U149" s="265">
        <v>0</v>
      </c>
      <c r="V149" s="265">
        <v>0</v>
      </c>
      <c r="W149" s="265">
        <v>204398000</v>
      </c>
      <c r="X149" s="265">
        <v>204398000</v>
      </c>
      <c r="AA149" s="299">
        <v>2019</v>
      </c>
      <c r="AB149" s="299">
        <v>1370</v>
      </c>
      <c r="AC149" s="300" t="s">
        <v>255</v>
      </c>
      <c r="AD149" s="299">
        <v>755</v>
      </c>
      <c r="AE149" s="299">
        <v>23</v>
      </c>
      <c r="AF149" s="294" t="s">
        <v>385</v>
      </c>
      <c r="AG149" s="294" t="s">
        <v>386</v>
      </c>
      <c r="AH149" s="294" t="s">
        <v>395</v>
      </c>
      <c r="AI149" s="301">
        <v>70000</v>
      </c>
    </row>
    <row r="150" spans="1:35" ht="16" customHeight="1">
      <c r="A150">
        <v>2017</v>
      </c>
      <c r="B150">
        <v>1550</v>
      </c>
      <c r="C150" t="s">
        <v>258</v>
      </c>
      <c r="D150" t="s">
        <v>245</v>
      </c>
      <c r="E150">
        <v>97</v>
      </c>
      <c r="F150" t="s">
        <v>251</v>
      </c>
      <c r="G150" t="s">
        <v>247</v>
      </c>
      <c r="H150" t="s">
        <v>248</v>
      </c>
      <c r="I150" s="202">
        <v>0</v>
      </c>
      <c r="J150" s="202">
        <v>0</v>
      </c>
      <c r="K150" s="202">
        <v>0</v>
      </c>
      <c r="M150" s="254">
        <v>2019</v>
      </c>
      <c r="N150" s="254">
        <v>1550</v>
      </c>
      <c r="O150" s="255" t="s">
        <v>258</v>
      </c>
      <c r="P150" s="254">
        <v>410</v>
      </c>
      <c r="Q150" s="254">
        <v>214</v>
      </c>
      <c r="R150" s="255" t="s">
        <v>37</v>
      </c>
      <c r="S150" s="255" t="s">
        <v>152</v>
      </c>
      <c r="T150" s="265">
        <v>0</v>
      </c>
      <c r="U150" s="265">
        <v>0</v>
      </c>
      <c r="V150" s="265">
        <v>0</v>
      </c>
      <c r="W150" s="265">
        <v>0</v>
      </c>
      <c r="X150" s="265">
        <v>0</v>
      </c>
      <c r="AA150" s="299">
        <v>2019</v>
      </c>
      <c r="AB150" s="299">
        <v>1370</v>
      </c>
      <c r="AC150" s="300" t="s">
        <v>255</v>
      </c>
      <c r="AD150" s="299">
        <v>755</v>
      </c>
      <c r="AE150" s="299">
        <v>24</v>
      </c>
      <c r="AF150" s="294" t="s">
        <v>385</v>
      </c>
      <c r="AG150" s="294" t="s">
        <v>386</v>
      </c>
      <c r="AH150" s="294" t="s">
        <v>396</v>
      </c>
      <c r="AI150" s="301">
        <v>28000</v>
      </c>
    </row>
    <row r="151" spans="1:35" ht="16" customHeight="1">
      <c r="A151">
        <v>2017</v>
      </c>
      <c r="B151">
        <v>1550</v>
      </c>
      <c r="C151" t="s">
        <v>258</v>
      </c>
      <c r="D151" t="s">
        <v>245</v>
      </c>
      <c r="E151">
        <v>98</v>
      </c>
      <c r="F151" t="s">
        <v>251</v>
      </c>
      <c r="G151" t="s">
        <v>247</v>
      </c>
      <c r="H151" t="s">
        <v>249</v>
      </c>
      <c r="I151" s="202">
        <v>0</v>
      </c>
      <c r="J151" s="202">
        <v>0</v>
      </c>
      <c r="K151" s="202">
        <v>0</v>
      </c>
      <c r="M151" s="254">
        <v>2019</v>
      </c>
      <c r="N151" s="254">
        <v>1550</v>
      </c>
      <c r="O151" s="255" t="s">
        <v>258</v>
      </c>
      <c r="P151" s="254">
        <v>410</v>
      </c>
      <c r="Q151" s="254">
        <v>215</v>
      </c>
      <c r="R151" s="255" t="s">
        <v>37</v>
      </c>
      <c r="S151" s="255" t="s">
        <v>153</v>
      </c>
      <c r="T151" s="265">
        <v>0</v>
      </c>
      <c r="U151" s="265">
        <v>0</v>
      </c>
      <c r="V151" s="265">
        <v>0</v>
      </c>
      <c r="W151" s="265">
        <v>0</v>
      </c>
      <c r="X151" s="265">
        <v>0</v>
      </c>
      <c r="AA151" s="299">
        <v>2019</v>
      </c>
      <c r="AB151" s="299">
        <v>1370</v>
      </c>
      <c r="AC151" s="300" t="s">
        <v>255</v>
      </c>
      <c r="AD151" s="299">
        <v>755</v>
      </c>
      <c r="AE151" s="299">
        <v>25</v>
      </c>
      <c r="AF151" s="294" t="s">
        <v>385</v>
      </c>
      <c r="AG151" s="294" t="s">
        <v>386</v>
      </c>
      <c r="AH151" s="294" t="s">
        <v>397</v>
      </c>
      <c r="AI151" s="301">
        <v>8277000</v>
      </c>
    </row>
    <row r="152" spans="1:35" ht="16" customHeight="1">
      <c r="A152">
        <v>2016</v>
      </c>
      <c r="B152">
        <v>3740</v>
      </c>
      <c r="C152" t="s">
        <v>244</v>
      </c>
      <c r="D152" t="s">
        <v>245</v>
      </c>
      <c r="E152" s="203">
        <v>91</v>
      </c>
      <c r="F152" s="203" t="s">
        <v>246</v>
      </c>
      <c r="G152" s="203" t="s">
        <v>247</v>
      </c>
      <c r="H152" s="203" t="s">
        <v>248</v>
      </c>
      <c r="I152" s="202">
        <v>181</v>
      </c>
      <c r="J152" s="202">
        <v>38902</v>
      </c>
      <c r="K152" s="202">
        <v>498827000</v>
      </c>
      <c r="M152" s="254">
        <v>2019</v>
      </c>
      <c r="N152" s="254">
        <v>1550</v>
      </c>
      <c r="O152" s="255" t="s">
        <v>258</v>
      </c>
      <c r="P152" s="254">
        <v>410</v>
      </c>
      <c r="Q152" s="254">
        <v>216</v>
      </c>
      <c r="R152" s="255" t="s">
        <v>37</v>
      </c>
      <c r="S152" s="255" t="s">
        <v>202</v>
      </c>
      <c r="T152" s="265">
        <v>0</v>
      </c>
      <c r="U152" s="265">
        <v>0</v>
      </c>
      <c r="V152" s="265">
        <v>-3095000</v>
      </c>
      <c r="W152" s="265">
        <v>0</v>
      </c>
      <c r="X152" s="265">
        <v>-3095000</v>
      </c>
      <c r="AA152" s="299">
        <v>2019</v>
      </c>
      <c r="AB152" s="299">
        <v>1370</v>
      </c>
      <c r="AC152" s="300" t="s">
        <v>255</v>
      </c>
      <c r="AD152" s="299">
        <v>755</v>
      </c>
      <c r="AE152" s="299">
        <v>26</v>
      </c>
      <c r="AF152" s="294" t="s">
        <v>385</v>
      </c>
      <c r="AG152" s="294" t="s">
        <v>386</v>
      </c>
      <c r="AH152" s="294" t="s">
        <v>398</v>
      </c>
      <c r="AI152" s="301">
        <v>6727000</v>
      </c>
    </row>
    <row r="153" spans="1:35" ht="16" customHeight="1">
      <c r="A153">
        <v>2016</v>
      </c>
      <c r="B153">
        <v>3740</v>
      </c>
      <c r="C153" t="s">
        <v>244</v>
      </c>
      <c r="D153" t="s">
        <v>245</v>
      </c>
      <c r="E153" s="203">
        <v>92</v>
      </c>
      <c r="F153" s="203" t="s">
        <v>246</v>
      </c>
      <c r="G153" s="203" t="s">
        <v>247</v>
      </c>
      <c r="H153" s="204" t="s">
        <v>249</v>
      </c>
      <c r="I153" s="202">
        <v>241</v>
      </c>
      <c r="J153" s="202">
        <v>46138</v>
      </c>
      <c r="K153" s="202">
        <v>209610000</v>
      </c>
      <c r="M153" s="254">
        <v>2019</v>
      </c>
      <c r="N153" s="254">
        <v>1550</v>
      </c>
      <c r="O153" s="255" t="s">
        <v>258</v>
      </c>
      <c r="P153" s="254">
        <v>410</v>
      </c>
      <c r="Q153" s="254">
        <v>217</v>
      </c>
      <c r="R153" s="255" t="s">
        <v>37</v>
      </c>
      <c r="S153" s="255" t="s">
        <v>156</v>
      </c>
      <c r="T153" s="265">
        <v>0</v>
      </c>
      <c r="U153" s="265">
        <v>0</v>
      </c>
      <c r="V153" s="265">
        <v>0</v>
      </c>
      <c r="W153" s="265">
        <v>0</v>
      </c>
      <c r="X153" s="265">
        <v>0</v>
      </c>
      <c r="AA153" s="299">
        <v>2019</v>
      </c>
      <c r="AB153" s="299">
        <v>1370</v>
      </c>
      <c r="AC153" s="300" t="s">
        <v>255</v>
      </c>
      <c r="AD153" s="299">
        <v>755</v>
      </c>
      <c r="AE153" s="299">
        <v>27</v>
      </c>
      <c r="AF153" s="294" t="s">
        <v>385</v>
      </c>
      <c r="AG153" s="294" t="s">
        <v>386</v>
      </c>
      <c r="AH153" s="294" t="s">
        <v>399</v>
      </c>
      <c r="AI153" s="301">
        <v>24000</v>
      </c>
    </row>
    <row r="154" spans="1:35" ht="16" customHeight="1">
      <c r="A154">
        <v>2016</v>
      </c>
      <c r="B154">
        <v>3740</v>
      </c>
      <c r="C154" t="s">
        <v>244</v>
      </c>
      <c r="D154" t="s">
        <v>245</v>
      </c>
      <c r="E154" s="203">
        <v>93</v>
      </c>
      <c r="F154" s="203" t="s">
        <v>250</v>
      </c>
      <c r="G154" s="203" t="s">
        <v>247</v>
      </c>
      <c r="H154" s="203" t="s">
        <v>248</v>
      </c>
      <c r="I154" s="202">
        <v>650</v>
      </c>
      <c r="J154" s="202">
        <v>23975</v>
      </c>
      <c r="K154" s="202">
        <v>94757000</v>
      </c>
      <c r="M154" s="254">
        <v>2019</v>
      </c>
      <c r="N154" s="254">
        <v>1550</v>
      </c>
      <c r="O154" s="255" t="s">
        <v>258</v>
      </c>
      <c r="P154" s="254">
        <v>410</v>
      </c>
      <c r="Q154" s="254">
        <v>218</v>
      </c>
      <c r="R154" s="255" t="s">
        <v>37</v>
      </c>
      <c r="S154" s="255" t="s">
        <v>158</v>
      </c>
      <c r="T154" s="265">
        <v>8458000</v>
      </c>
      <c r="U154" s="265">
        <v>25000</v>
      </c>
      <c r="V154" s="265">
        <v>0</v>
      </c>
      <c r="W154" s="265">
        <v>1000</v>
      </c>
      <c r="X154" s="265">
        <v>8484000</v>
      </c>
      <c r="AA154" s="299">
        <v>2019</v>
      </c>
      <c r="AB154" s="299">
        <v>1370</v>
      </c>
      <c r="AC154" s="300" t="s">
        <v>255</v>
      </c>
      <c r="AD154" s="299">
        <v>755</v>
      </c>
      <c r="AE154" s="299">
        <v>28</v>
      </c>
      <c r="AF154" s="294" t="s">
        <v>385</v>
      </c>
      <c r="AG154" s="294" t="s">
        <v>386</v>
      </c>
      <c r="AH154" s="294" t="s">
        <v>400</v>
      </c>
      <c r="AI154" s="301">
        <v>39800000</v>
      </c>
    </row>
    <row r="155" spans="1:35" ht="16" customHeight="1">
      <c r="A155">
        <v>2016</v>
      </c>
      <c r="B155">
        <v>3740</v>
      </c>
      <c r="C155" t="s">
        <v>244</v>
      </c>
      <c r="D155" t="s">
        <v>245</v>
      </c>
      <c r="E155" s="203">
        <v>94</v>
      </c>
      <c r="F155" s="203" t="s">
        <v>250</v>
      </c>
      <c r="G155" s="203" t="s">
        <v>247</v>
      </c>
      <c r="H155" s="204" t="s">
        <v>249</v>
      </c>
      <c r="I155" s="202">
        <v>0</v>
      </c>
      <c r="J155" s="202">
        <v>0</v>
      </c>
      <c r="K155" s="202">
        <v>0</v>
      </c>
      <c r="M155" s="254">
        <v>2019</v>
      </c>
      <c r="N155" s="254">
        <v>1370</v>
      </c>
      <c r="O155" s="255" t="s">
        <v>255</v>
      </c>
      <c r="P155" s="254">
        <v>410</v>
      </c>
      <c r="Q155" s="254">
        <v>201</v>
      </c>
      <c r="R155" s="255" t="s">
        <v>37</v>
      </c>
      <c r="S155" s="255" t="s">
        <v>203</v>
      </c>
      <c r="T155" s="265">
        <v>3341000</v>
      </c>
      <c r="U155" s="265">
        <v>521000</v>
      </c>
      <c r="V155" s="265">
        <v>5823000</v>
      </c>
      <c r="W155" s="265">
        <v>1696000</v>
      </c>
      <c r="X155" s="265">
        <v>11381000</v>
      </c>
      <c r="AA155" s="299">
        <v>2019</v>
      </c>
      <c r="AB155" s="299">
        <v>1370</v>
      </c>
      <c r="AC155" s="300" t="s">
        <v>255</v>
      </c>
      <c r="AD155" s="299">
        <v>755</v>
      </c>
      <c r="AE155" s="299">
        <v>29</v>
      </c>
      <c r="AF155" s="294" t="s">
        <v>385</v>
      </c>
      <c r="AG155" s="294" t="s">
        <v>401</v>
      </c>
      <c r="AH155" s="294" t="s">
        <v>402</v>
      </c>
      <c r="AI155" s="301">
        <v>11839000</v>
      </c>
    </row>
    <row r="156" spans="1:35" ht="16" customHeight="1">
      <c r="A156">
        <v>2016</v>
      </c>
      <c r="B156">
        <v>3740</v>
      </c>
      <c r="C156" t="s">
        <v>244</v>
      </c>
      <c r="D156" t="s">
        <v>245</v>
      </c>
      <c r="E156" s="203">
        <v>97</v>
      </c>
      <c r="F156" s="203" t="s">
        <v>251</v>
      </c>
      <c r="G156" s="203" t="s">
        <v>247</v>
      </c>
      <c r="H156" s="203" t="s">
        <v>248</v>
      </c>
      <c r="I156" s="202">
        <v>80</v>
      </c>
      <c r="J156" s="202">
        <v>412</v>
      </c>
      <c r="K156" s="202">
        <v>1450000</v>
      </c>
      <c r="M156" s="254">
        <v>2019</v>
      </c>
      <c r="N156" s="254">
        <v>1370</v>
      </c>
      <c r="O156" s="255" t="s">
        <v>255</v>
      </c>
      <c r="P156" s="254">
        <v>410</v>
      </c>
      <c r="Q156" s="254">
        <v>202</v>
      </c>
      <c r="R156" s="255" t="s">
        <v>37</v>
      </c>
      <c r="S156" s="255" t="s">
        <v>197</v>
      </c>
      <c r="T156" s="265">
        <v>22194000</v>
      </c>
      <c r="U156" s="265">
        <v>54075000</v>
      </c>
      <c r="V156" s="265">
        <v>68905000</v>
      </c>
      <c r="W156" s="265">
        <v>692000</v>
      </c>
      <c r="X156" s="265">
        <v>145866000</v>
      </c>
      <c r="AA156" s="299">
        <v>2019</v>
      </c>
      <c r="AB156" s="299">
        <v>1370</v>
      </c>
      <c r="AC156" s="300" t="s">
        <v>255</v>
      </c>
      <c r="AD156" s="299">
        <v>755</v>
      </c>
      <c r="AE156" s="299">
        <v>30</v>
      </c>
      <c r="AF156" s="294" t="s">
        <v>385</v>
      </c>
      <c r="AG156" s="294" t="s">
        <v>401</v>
      </c>
      <c r="AH156" s="294" t="s">
        <v>403</v>
      </c>
      <c r="AI156" s="301">
        <v>185629000</v>
      </c>
    </row>
    <row r="157" spans="1:35" ht="16" customHeight="1">
      <c r="A157">
        <v>2016</v>
      </c>
      <c r="B157">
        <v>3740</v>
      </c>
      <c r="C157" t="s">
        <v>244</v>
      </c>
      <c r="D157" t="s">
        <v>245</v>
      </c>
      <c r="E157" s="203">
        <v>98</v>
      </c>
      <c r="F157" s="203" t="s">
        <v>251</v>
      </c>
      <c r="G157" s="203" t="s">
        <v>247</v>
      </c>
      <c r="H157" s="204" t="s">
        <v>249</v>
      </c>
      <c r="I157" s="202">
        <v>0</v>
      </c>
      <c r="J157" s="202">
        <v>0</v>
      </c>
      <c r="K157" s="202">
        <v>0</v>
      </c>
      <c r="M157" s="254">
        <v>2019</v>
      </c>
      <c r="N157" s="254">
        <v>1370</v>
      </c>
      <c r="O157" s="255" t="s">
        <v>255</v>
      </c>
      <c r="P157" s="254">
        <v>410</v>
      </c>
      <c r="Q157" s="254">
        <v>203</v>
      </c>
      <c r="R157" s="255" t="s">
        <v>37</v>
      </c>
      <c r="S157" s="255" t="s">
        <v>198</v>
      </c>
      <c r="T157" s="265">
        <v>0</v>
      </c>
      <c r="U157" s="265">
        <v>0</v>
      </c>
      <c r="V157" s="265">
        <v>0</v>
      </c>
      <c r="W157" s="265">
        <v>0</v>
      </c>
      <c r="X157" s="265">
        <v>0</v>
      </c>
      <c r="AA157" s="299">
        <v>2019</v>
      </c>
      <c r="AB157" s="299">
        <v>1370</v>
      </c>
      <c r="AC157" s="300" t="s">
        <v>255</v>
      </c>
      <c r="AD157" s="299">
        <v>755</v>
      </c>
      <c r="AE157" s="299">
        <v>31</v>
      </c>
      <c r="AF157" s="294" t="s">
        <v>385</v>
      </c>
      <c r="AG157" s="294" t="s">
        <v>404</v>
      </c>
      <c r="AH157" s="294" t="s">
        <v>387</v>
      </c>
      <c r="AI157" s="301">
        <v>0</v>
      </c>
    </row>
    <row r="158" spans="1:35" ht="16" customHeight="1">
      <c r="A158">
        <v>2016</v>
      </c>
      <c r="B158">
        <v>3680</v>
      </c>
      <c r="C158" t="s">
        <v>252</v>
      </c>
      <c r="D158" t="s">
        <v>245</v>
      </c>
      <c r="E158" s="203">
        <v>91</v>
      </c>
      <c r="F158" s="203" t="s">
        <v>246</v>
      </c>
      <c r="G158" s="203" t="s">
        <v>247</v>
      </c>
      <c r="H158" s="203" t="s">
        <v>248</v>
      </c>
      <c r="I158" s="202">
        <v>8</v>
      </c>
      <c r="J158" s="202">
        <v>1572</v>
      </c>
      <c r="K158" s="202">
        <v>14233000</v>
      </c>
      <c r="M158" s="254">
        <v>2019</v>
      </c>
      <c r="N158" s="254">
        <v>1370</v>
      </c>
      <c r="O158" s="255" t="s">
        <v>255</v>
      </c>
      <c r="P158" s="254">
        <v>410</v>
      </c>
      <c r="Q158" s="254">
        <v>204</v>
      </c>
      <c r="R158" s="255" t="s">
        <v>37</v>
      </c>
      <c r="S158" s="255" t="s">
        <v>199</v>
      </c>
      <c r="T158" s="265">
        <v>0</v>
      </c>
      <c r="U158" s="265">
        <v>0</v>
      </c>
      <c r="V158" s="265">
        <v>0</v>
      </c>
      <c r="W158" s="265">
        <v>0</v>
      </c>
      <c r="X158" s="265">
        <v>0</v>
      </c>
      <c r="AA158" s="299">
        <v>2019</v>
      </c>
      <c r="AB158" s="299">
        <v>1370</v>
      </c>
      <c r="AC158" s="300" t="s">
        <v>255</v>
      </c>
      <c r="AD158" s="299">
        <v>755</v>
      </c>
      <c r="AE158" s="299">
        <v>32</v>
      </c>
      <c r="AF158" s="294" t="s">
        <v>385</v>
      </c>
      <c r="AG158" s="294" t="s">
        <v>404</v>
      </c>
      <c r="AH158" s="294" t="s">
        <v>388</v>
      </c>
      <c r="AI158" s="301">
        <v>3611000</v>
      </c>
    </row>
    <row r="159" spans="1:35" ht="16" customHeight="1">
      <c r="A159">
        <v>2016</v>
      </c>
      <c r="B159">
        <v>3680</v>
      </c>
      <c r="C159" t="s">
        <v>252</v>
      </c>
      <c r="D159" t="s">
        <v>245</v>
      </c>
      <c r="E159" s="203">
        <v>92</v>
      </c>
      <c r="F159" s="203" t="s">
        <v>246</v>
      </c>
      <c r="G159" s="203" t="s">
        <v>247</v>
      </c>
      <c r="H159" s="204" t="s">
        <v>249</v>
      </c>
      <c r="I159" s="202">
        <v>0</v>
      </c>
      <c r="J159" s="202">
        <v>0</v>
      </c>
      <c r="K159" s="202">
        <v>0</v>
      </c>
      <c r="M159" s="254">
        <v>2019</v>
      </c>
      <c r="N159" s="254">
        <v>1370</v>
      </c>
      <c r="O159" s="255" t="s">
        <v>255</v>
      </c>
      <c r="P159" s="254">
        <v>410</v>
      </c>
      <c r="Q159" s="254">
        <v>205</v>
      </c>
      <c r="R159" s="255" t="s">
        <v>37</v>
      </c>
      <c r="S159" s="255" t="s">
        <v>200</v>
      </c>
      <c r="T159" s="265">
        <v>0</v>
      </c>
      <c r="U159" s="265">
        <v>0</v>
      </c>
      <c r="V159" s="265">
        <v>0</v>
      </c>
      <c r="W159" s="265">
        <v>10628000</v>
      </c>
      <c r="X159" s="265">
        <v>10628000</v>
      </c>
      <c r="AA159" s="299">
        <v>2019</v>
      </c>
      <c r="AB159" s="299">
        <v>1370</v>
      </c>
      <c r="AC159" s="300" t="s">
        <v>255</v>
      </c>
      <c r="AD159" s="299">
        <v>755</v>
      </c>
      <c r="AE159" s="299">
        <v>33</v>
      </c>
      <c r="AF159" s="294" t="s">
        <v>385</v>
      </c>
      <c r="AG159" s="294" t="s">
        <v>404</v>
      </c>
      <c r="AH159" s="294" t="s">
        <v>389</v>
      </c>
      <c r="AI159" s="301">
        <v>33760000</v>
      </c>
    </row>
    <row r="160" spans="1:35" ht="16" customHeight="1">
      <c r="A160">
        <v>2016</v>
      </c>
      <c r="B160">
        <v>3680</v>
      </c>
      <c r="C160" t="s">
        <v>252</v>
      </c>
      <c r="D160" t="s">
        <v>245</v>
      </c>
      <c r="E160" s="203">
        <v>93</v>
      </c>
      <c r="F160" s="203" t="s">
        <v>250</v>
      </c>
      <c r="G160" s="203" t="s">
        <v>247</v>
      </c>
      <c r="H160" s="203" t="s">
        <v>248</v>
      </c>
      <c r="I160" s="202">
        <v>0</v>
      </c>
      <c r="J160" s="202">
        <v>0</v>
      </c>
      <c r="K160" s="202">
        <v>0</v>
      </c>
      <c r="M160" s="254">
        <v>2019</v>
      </c>
      <c r="N160" s="254">
        <v>1370</v>
      </c>
      <c r="O160" s="255" t="s">
        <v>255</v>
      </c>
      <c r="P160" s="254">
        <v>410</v>
      </c>
      <c r="Q160" s="254">
        <v>206</v>
      </c>
      <c r="R160" s="255" t="s">
        <v>37</v>
      </c>
      <c r="S160" s="255" t="s">
        <v>201</v>
      </c>
      <c r="T160" s="265">
        <v>0</v>
      </c>
      <c r="U160" s="265">
        <v>0</v>
      </c>
      <c r="V160" s="265">
        <v>0</v>
      </c>
      <c r="W160" s="265">
        <v>285000</v>
      </c>
      <c r="X160" s="265">
        <v>285000</v>
      </c>
      <c r="AA160" s="299">
        <v>2019</v>
      </c>
      <c r="AB160" s="299">
        <v>1370</v>
      </c>
      <c r="AC160" s="300" t="s">
        <v>255</v>
      </c>
      <c r="AD160" s="299">
        <v>755</v>
      </c>
      <c r="AE160" s="299">
        <v>34</v>
      </c>
      <c r="AF160" s="294" t="s">
        <v>385</v>
      </c>
      <c r="AG160" s="294" t="s">
        <v>404</v>
      </c>
      <c r="AH160" s="294" t="s">
        <v>390</v>
      </c>
      <c r="AI160" s="301">
        <v>6438000</v>
      </c>
    </row>
    <row r="161" spans="1:35" ht="16" customHeight="1">
      <c r="A161">
        <v>2016</v>
      </c>
      <c r="B161">
        <v>3680</v>
      </c>
      <c r="C161" t="s">
        <v>252</v>
      </c>
      <c r="D161" t="s">
        <v>245</v>
      </c>
      <c r="E161" s="203">
        <v>94</v>
      </c>
      <c r="F161" s="203" t="s">
        <v>250</v>
      </c>
      <c r="G161" s="203" t="s">
        <v>247</v>
      </c>
      <c r="H161" s="203" t="s">
        <v>249</v>
      </c>
      <c r="I161" s="202">
        <v>0</v>
      </c>
      <c r="J161" s="202">
        <v>0</v>
      </c>
      <c r="K161" s="202">
        <v>0</v>
      </c>
      <c r="M161" s="254">
        <v>2019</v>
      </c>
      <c r="N161" s="254">
        <v>1370</v>
      </c>
      <c r="O161" s="255" t="s">
        <v>255</v>
      </c>
      <c r="P161" s="254">
        <v>410</v>
      </c>
      <c r="Q161" s="254">
        <v>207</v>
      </c>
      <c r="R161" s="255" t="s">
        <v>37</v>
      </c>
      <c r="S161" s="255" t="s">
        <v>137</v>
      </c>
      <c r="T161" s="265">
        <v>0</v>
      </c>
      <c r="U161" s="265">
        <v>0</v>
      </c>
      <c r="V161" s="265">
        <v>27990000</v>
      </c>
      <c r="W161" s="265">
        <v>0</v>
      </c>
      <c r="X161" s="265">
        <v>27990000</v>
      </c>
      <c r="AA161" s="299">
        <v>2019</v>
      </c>
      <c r="AB161" s="299">
        <v>1370</v>
      </c>
      <c r="AC161" s="300" t="s">
        <v>255</v>
      </c>
      <c r="AD161" s="299">
        <v>755</v>
      </c>
      <c r="AE161" s="299">
        <v>35</v>
      </c>
      <c r="AF161" s="294" t="s">
        <v>385</v>
      </c>
      <c r="AG161" s="294" t="s">
        <v>404</v>
      </c>
      <c r="AH161" s="294" t="s">
        <v>391</v>
      </c>
      <c r="AI161" s="301">
        <v>13196000</v>
      </c>
    </row>
    <row r="162" spans="1:35" ht="16" customHeight="1">
      <c r="A162">
        <v>2016</v>
      </c>
      <c r="B162">
        <v>3680</v>
      </c>
      <c r="C162" t="s">
        <v>252</v>
      </c>
      <c r="D162" t="s">
        <v>245</v>
      </c>
      <c r="E162" s="203">
        <v>97</v>
      </c>
      <c r="F162" s="203" t="s">
        <v>251</v>
      </c>
      <c r="G162" s="203" t="s">
        <v>247</v>
      </c>
      <c r="H162" s="203" t="s">
        <v>248</v>
      </c>
      <c r="I162" s="202">
        <v>0</v>
      </c>
      <c r="J162" s="202">
        <v>0</v>
      </c>
      <c r="K162" s="202">
        <v>0</v>
      </c>
      <c r="M162" s="254">
        <v>2019</v>
      </c>
      <c r="N162" s="254">
        <v>1370</v>
      </c>
      <c r="O162" s="255" t="s">
        <v>255</v>
      </c>
      <c r="P162" s="254">
        <v>410</v>
      </c>
      <c r="Q162" s="254">
        <v>208</v>
      </c>
      <c r="R162" s="255" t="s">
        <v>37</v>
      </c>
      <c r="S162" s="255" t="s">
        <v>138</v>
      </c>
      <c r="T162" s="265">
        <v>0</v>
      </c>
      <c r="U162" s="265">
        <v>0</v>
      </c>
      <c r="V162" s="265">
        <v>-23838000</v>
      </c>
      <c r="W162" s="265">
        <v>0</v>
      </c>
      <c r="X162" s="265">
        <v>-23838000</v>
      </c>
      <c r="AA162" s="299">
        <v>2019</v>
      </c>
      <c r="AB162" s="299">
        <v>1370</v>
      </c>
      <c r="AC162" s="300" t="s">
        <v>255</v>
      </c>
      <c r="AD162" s="299">
        <v>755</v>
      </c>
      <c r="AE162" s="299">
        <v>36</v>
      </c>
      <c r="AF162" s="294" t="s">
        <v>385</v>
      </c>
      <c r="AG162" s="294" t="s">
        <v>404</v>
      </c>
      <c r="AH162" s="294" t="s">
        <v>392</v>
      </c>
      <c r="AI162" s="301">
        <v>26189000</v>
      </c>
    </row>
    <row r="163" spans="1:35">
      <c r="A163">
        <v>2016</v>
      </c>
      <c r="B163">
        <v>3680</v>
      </c>
      <c r="C163" t="s">
        <v>252</v>
      </c>
      <c r="D163" t="s">
        <v>245</v>
      </c>
      <c r="E163" s="203">
        <v>98</v>
      </c>
      <c r="F163" s="203" t="s">
        <v>251</v>
      </c>
      <c r="G163" s="203" t="s">
        <v>247</v>
      </c>
      <c r="H163" s="204" t="s">
        <v>249</v>
      </c>
      <c r="I163" s="202">
        <v>0</v>
      </c>
      <c r="J163" s="202">
        <v>0</v>
      </c>
      <c r="K163" s="202">
        <v>0</v>
      </c>
      <c r="M163" s="254">
        <v>2019</v>
      </c>
      <c r="N163" s="254">
        <v>1370</v>
      </c>
      <c r="O163" s="255" t="s">
        <v>255</v>
      </c>
      <c r="P163" s="254">
        <v>410</v>
      </c>
      <c r="Q163" s="254">
        <v>209</v>
      </c>
      <c r="R163" s="255" t="s">
        <v>37</v>
      </c>
      <c r="S163" s="255" t="s">
        <v>139</v>
      </c>
      <c r="T163" s="265">
        <v>0</v>
      </c>
      <c r="U163" s="265">
        <v>0</v>
      </c>
      <c r="V163" s="265">
        <v>0</v>
      </c>
      <c r="W163" s="265">
        <v>0</v>
      </c>
      <c r="X163" s="265">
        <v>0</v>
      </c>
      <c r="AA163" s="299">
        <v>2019</v>
      </c>
      <c r="AB163" s="299">
        <v>1370</v>
      </c>
      <c r="AC163" s="300" t="s">
        <v>255</v>
      </c>
      <c r="AD163" s="299">
        <v>755</v>
      </c>
      <c r="AE163" s="299">
        <v>37</v>
      </c>
      <c r="AF163" s="294" t="s">
        <v>385</v>
      </c>
      <c r="AG163" s="294" t="s">
        <v>404</v>
      </c>
      <c r="AH163" s="294" t="s">
        <v>393</v>
      </c>
      <c r="AI163" s="301">
        <v>5307000</v>
      </c>
    </row>
    <row r="164" spans="1:35">
      <c r="A164">
        <v>2016</v>
      </c>
      <c r="B164">
        <v>3410</v>
      </c>
      <c r="C164" t="s">
        <v>253</v>
      </c>
      <c r="D164" t="s">
        <v>245</v>
      </c>
      <c r="E164" s="203">
        <v>91</v>
      </c>
      <c r="F164" s="203" t="s">
        <v>246</v>
      </c>
      <c r="G164" s="203" t="s">
        <v>247</v>
      </c>
      <c r="H164" s="203" t="s">
        <v>248</v>
      </c>
      <c r="I164" s="202">
        <v>0</v>
      </c>
      <c r="J164" s="202">
        <v>0</v>
      </c>
      <c r="K164" s="202">
        <v>0</v>
      </c>
      <c r="M164" s="254">
        <v>2019</v>
      </c>
      <c r="N164" s="254">
        <v>1370</v>
      </c>
      <c r="O164" s="255" t="s">
        <v>255</v>
      </c>
      <c r="P164" s="254">
        <v>410</v>
      </c>
      <c r="Q164" s="254">
        <v>210</v>
      </c>
      <c r="R164" s="255" t="s">
        <v>37</v>
      </c>
      <c r="S164" s="255" t="s">
        <v>140</v>
      </c>
      <c r="T164" s="265">
        <v>0</v>
      </c>
      <c r="U164" s="265">
        <v>0</v>
      </c>
      <c r="V164" s="265">
        <v>0</v>
      </c>
      <c r="W164" s="265">
        <v>0</v>
      </c>
      <c r="X164" s="265">
        <v>0</v>
      </c>
      <c r="AA164" s="299">
        <v>2019</v>
      </c>
      <c r="AB164" s="299">
        <v>1370</v>
      </c>
      <c r="AC164" s="300" t="s">
        <v>255</v>
      </c>
      <c r="AD164" s="299">
        <v>755</v>
      </c>
      <c r="AE164" s="299">
        <v>38</v>
      </c>
      <c r="AF164" s="294" t="s">
        <v>385</v>
      </c>
      <c r="AG164" s="294" t="s">
        <v>404</v>
      </c>
      <c r="AH164" s="294" t="s">
        <v>394</v>
      </c>
      <c r="AI164" s="301">
        <v>27471000</v>
      </c>
    </row>
    <row r="165" spans="1:35">
      <c r="A165">
        <v>2016</v>
      </c>
      <c r="B165">
        <v>3410</v>
      </c>
      <c r="C165" t="s">
        <v>253</v>
      </c>
      <c r="D165" t="s">
        <v>245</v>
      </c>
      <c r="E165" s="203">
        <v>92</v>
      </c>
      <c r="F165" s="203" t="s">
        <v>246</v>
      </c>
      <c r="G165" s="203" t="s">
        <v>247</v>
      </c>
      <c r="H165" s="204" t="s">
        <v>249</v>
      </c>
      <c r="I165" s="202">
        <v>0</v>
      </c>
      <c r="J165" s="202">
        <v>0</v>
      </c>
      <c r="K165" s="202">
        <v>0</v>
      </c>
      <c r="M165" s="254">
        <v>2019</v>
      </c>
      <c r="N165" s="254">
        <v>1370</v>
      </c>
      <c r="O165" s="255" t="s">
        <v>255</v>
      </c>
      <c r="P165" s="254">
        <v>410</v>
      </c>
      <c r="Q165" s="254">
        <v>211</v>
      </c>
      <c r="R165" s="255" t="s">
        <v>37</v>
      </c>
      <c r="S165" s="255" t="s">
        <v>141</v>
      </c>
      <c r="T165" s="265">
        <v>0</v>
      </c>
      <c r="U165" s="265">
        <v>0</v>
      </c>
      <c r="V165" s="265">
        <v>0</v>
      </c>
      <c r="W165" s="265">
        <v>0</v>
      </c>
      <c r="X165" s="265">
        <v>0</v>
      </c>
      <c r="AA165" s="299">
        <v>2019</v>
      </c>
      <c r="AB165" s="299">
        <v>1370</v>
      </c>
      <c r="AC165" s="300" t="s">
        <v>255</v>
      </c>
      <c r="AD165" s="299">
        <v>755</v>
      </c>
      <c r="AE165" s="299">
        <v>39</v>
      </c>
      <c r="AF165" s="294" t="s">
        <v>385</v>
      </c>
      <c r="AG165" s="294" t="s">
        <v>404</v>
      </c>
      <c r="AH165" s="294" t="s">
        <v>395</v>
      </c>
      <c r="AI165" s="301">
        <v>62000</v>
      </c>
    </row>
    <row r="166" spans="1:35">
      <c r="A166">
        <v>2016</v>
      </c>
      <c r="B166">
        <v>3410</v>
      </c>
      <c r="C166" t="s">
        <v>253</v>
      </c>
      <c r="D166" t="s">
        <v>245</v>
      </c>
      <c r="E166" s="203">
        <v>93</v>
      </c>
      <c r="F166" s="203" t="s">
        <v>250</v>
      </c>
      <c r="G166" s="203" t="s">
        <v>247</v>
      </c>
      <c r="H166" s="203" t="s">
        <v>248</v>
      </c>
      <c r="I166" s="202">
        <v>667</v>
      </c>
      <c r="J166" s="202">
        <v>28636</v>
      </c>
      <c r="K166" s="202">
        <v>55020000</v>
      </c>
      <c r="M166" s="254">
        <v>2019</v>
      </c>
      <c r="N166" s="254">
        <v>1370</v>
      </c>
      <c r="O166" s="255" t="s">
        <v>255</v>
      </c>
      <c r="P166" s="254">
        <v>410</v>
      </c>
      <c r="Q166" s="254">
        <v>212</v>
      </c>
      <c r="R166" s="255" t="s">
        <v>37</v>
      </c>
      <c r="S166" s="255" t="s">
        <v>142</v>
      </c>
      <c r="T166" s="265">
        <v>0</v>
      </c>
      <c r="U166" s="265">
        <v>0</v>
      </c>
      <c r="V166" s="265">
        <v>0</v>
      </c>
      <c r="W166" s="265">
        <v>0</v>
      </c>
      <c r="X166" s="265">
        <v>0</v>
      </c>
      <c r="AA166" s="299">
        <v>2019</v>
      </c>
      <c r="AB166" s="299">
        <v>1370</v>
      </c>
      <c r="AC166" s="300" t="s">
        <v>255</v>
      </c>
      <c r="AD166" s="299">
        <v>755</v>
      </c>
      <c r="AE166" s="299">
        <v>40</v>
      </c>
      <c r="AF166" s="294" t="s">
        <v>385</v>
      </c>
      <c r="AG166" s="294" t="s">
        <v>404</v>
      </c>
      <c r="AH166" s="294" t="s">
        <v>396</v>
      </c>
      <c r="AI166" s="301">
        <v>31000</v>
      </c>
    </row>
    <row r="167" spans="1:35">
      <c r="A167">
        <v>2016</v>
      </c>
      <c r="B167">
        <v>3410</v>
      </c>
      <c r="C167" t="s">
        <v>253</v>
      </c>
      <c r="D167" t="s">
        <v>245</v>
      </c>
      <c r="E167" s="203">
        <v>94</v>
      </c>
      <c r="F167" s="203" t="s">
        <v>250</v>
      </c>
      <c r="G167" s="203" t="s">
        <v>247</v>
      </c>
      <c r="H167" s="204" t="s">
        <v>249</v>
      </c>
      <c r="I167" s="202">
        <v>0</v>
      </c>
      <c r="J167" s="202">
        <v>0</v>
      </c>
      <c r="K167" s="202">
        <v>0</v>
      </c>
      <c r="M167" s="254">
        <v>2019</v>
      </c>
      <c r="N167" s="254">
        <v>1370</v>
      </c>
      <c r="O167" s="255" t="s">
        <v>255</v>
      </c>
      <c r="P167" s="254">
        <v>410</v>
      </c>
      <c r="Q167" s="254">
        <v>213</v>
      </c>
      <c r="R167" s="255" t="s">
        <v>37</v>
      </c>
      <c r="S167" s="255" t="s">
        <v>145</v>
      </c>
      <c r="T167" s="265">
        <v>0</v>
      </c>
      <c r="U167" s="265">
        <v>0</v>
      </c>
      <c r="V167" s="265">
        <v>0</v>
      </c>
      <c r="W167" s="265">
        <v>70444000</v>
      </c>
      <c r="X167" s="265">
        <v>70444000</v>
      </c>
      <c r="AA167" s="299">
        <v>2019</v>
      </c>
      <c r="AB167" s="299">
        <v>1370</v>
      </c>
      <c r="AC167" s="300" t="s">
        <v>255</v>
      </c>
      <c r="AD167" s="299">
        <v>755</v>
      </c>
      <c r="AE167" s="299">
        <v>41</v>
      </c>
      <c r="AF167" s="294" t="s">
        <v>385</v>
      </c>
      <c r="AG167" s="294" t="s">
        <v>404</v>
      </c>
      <c r="AH167" s="294" t="s">
        <v>397</v>
      </c>
      <c r="AI167" s="301">
        <v>494000</v>
      </c>
    </row>
    <row r="168" spans="1:35">
      <c r="A168">
        <v>2016</v>
      </c>
      <c r="B168">
        <v>3410</v>
      </c>
      <c r="C168" t="s">
        <v>253</v>
      </c>
      <c r="D168" t="s">
        <v>245</v>
      </c>
      <c r="E168" s="203">
        <v>97</v>
      </c>
      <c r="F168" s="203" t="s">
        <v>251</v>
      </c>
      <c r="G168" s="203" t="s">
        <v>247</v>
      </c>
      <c r="H168" s="203" t="s">
        <v>248</v>
      </c>
      <c r="I168" s="202">
        <v>0</v>
      </c>
      <c r="J168" s="202">
        <v>0</v>
      </c>
      <c r="K168" s="202">
        <v>0</v>
      </c>
      <c r="M168" s="254">
        <v>2019</v>
      </c>
      <c r="N168" s="254">
        <v>1370</v>
      </c>
      <c r="O168" s="255" t="s">
        <v>255</v>
      </c>
      <c r="P168" s="254">
        <v>410</v>
      </c>
      <c r="Q168" s="254">
        <v>214</v>
      </c>
      <c r="R168" s="255" t="s">
        <v>37</v>
      </c>
      <c r="S168" s="255" t="s">
        <v>152</v>
      </c>
      <c r="T168" s="265">
        <v>0</v>
      </c>
      <c r="U168" s="265">
        <v>0</v>
      </c>
      <c r="V168" s="265">
        <v>0</v>
      </c>
      <c r="W168" s="265">
        <v>0</v>
      </c>
      <c r="X168" s="265">
        <v>0</v>
      </c>
      <c r="AA168" s="299">
        <v>2019</v>
      </c>
      <c r="AB168" s="299">
        <v>1370</v>
      </c>
      <c r="AC168" s="300" t="s">
        <v>255</v>
      </c>
      <c r="AD168" s="299">
        <v>755</v>
      </c>
      <c r="AE168" s="299">
        <v>42</v>
      </c>
      <c r="AF168" s="294" t="s">
        <v>385</v>
      </c>
      <c r="AG168" s="294" t="s">
        <v>404</v>
      </c>
      <c r="AH168" s="294" t="s">
        <v>398</v>
      </c>
      <c r="AI168" s="301">
        <v>3969000</v>
      </c>
    </row>
    <row r="169" spans="1:35">
      <c r="A169">
        <v>2016</v>
      </c>
      <c r="B169">
        <v>3410</v>
      </c>
      <c r="C169" t="s">
        <v>253</v>
      </c>
      <c r="D169" t="s">
        <v>245</v>
      </c>
      <c r="E169" s="203">
        <v>98</v>
      </c>
      <c r="F169" s="203" t="s">
        <v>251</v>
      </c>
      <c r="G169" s="203" t="s">
        <v>247</v>
      </c>
      <c r="H169" s="204" t="s">
        <v>249</v>
      </c>
      <c r="I169" s="202">
        <v>0</v>
      </c>
      <c r="J169" s="202">
        <v>0</v>
      </c>
      <c r="K169" s="202">
        <v>0</v>
      </c>
      <c r="M169" s="254">
        <v>2019</v>
      </c>
      <c r="N169" s="254">
        <v>1370</v>
      </c>
      <c r="O169" s="255" t="s">
        <v>255</v>
      </c>
      <c r="P169" s="254">
        <v>410</v>
      </c>
      <c r="Q169" s="254">
        <v>215</v>
      </c>
      <c r="R169" s="255" t="s">
        <v>37</v>
      </c>
      <c r="S169" s="255" t="s">
        <v>153</v>
      </c>
      <c r="T169" s="265">
        <v>0</v>
      </c>
      <c r="U169" s="265">
        <v>0</v>
      </c>
      <c r="V169" s="265">
        <v>0</v>
      </c>
      <c r="W169" s="265">
        <v>0</v>
      </c>
      <c r="X169" s="265">
        <v>0</v>
      </c>
      <c r="AA169" s="299">
        <v>2019</v>
      </c>
      <c r="AB169" s="299">
        <v>1370</v>
      </c>
      <c r="AC169" s="300" t="s">
        <v>255</v>
      </c>
      <c r="AD169" s="299">
        <v>755</v>
      </c>
      <c r="AE169" s="299">
        <v>43</v>
      </c>
      <c r="AF169" s="294" t="s">
        <v>385</v>
      </c>
      <c r="AG169" s="294" t="s">
        <v>404</v>
      </c>
      <c r="AH169" s="294" t="s">
        <v>399</v>
      </c>
      <c r="AI169" s="301">
        <v>24000</v>
      </c>
    </row>
    <row r="170" spans="1:35">
      <c r="A170">
        <v>2016</v>
      </c>
      <c r="B170">
        <v>3050</v>
      </c>
      <c r="C170" t="s">
        <v>254</v>
      </c>
      <c r="D170" t="s">
        <v>245</v>
      </c>
      <c r="E170" s="203">
        <v>91</v>
      </c>
      <c r="F170" s="203" t="s">
        <v>246</v>
      </c>
      <c r="G170" s="203" t="s">
        <v>247</v>
      </c>
      <c r="H170" s="203" t="s">
        <v>248</v>
      </c>
      <c r="I170" s="202">
        <v>155</v>
      </c>
      <c r="J170" s="202">
        <v>33131</v>
      </c>
      <c r="K170" s="202">
        <v>360366000</v>
      </c>
      <c r="M170" s="254">
        <v>2019</v>
      </c>
      <c r="N170" s="254">
        <v>1370</v>
      </c>
      <c r="O170" s="255" t="s">
        <v>255</v>
      </c>
      <c r="P170" s="254">
        <v>410</v>
      </c>
      <c r="Q170" s="254">
        <v>216</v>
      </c>
      <c r="R170" s="255" t="s">
        <v>37</v>
      </c>
      <c r="S170" s="255" t="s">
        <v>202</v>
      </c>
      <c r="T170" s="265">
        <v>0</v>
      </c>
      <c r="U170" s="265">
        <v>0</v>
      </c>
      <c r="V170" s="265">
        <v>-74021000</v>
      </c>
      <c r="W170" s="265">
        <v>0</v>
      </c>
      <c r="X170" s="265">
        <v>-74021000</v>
      </c>
      <c r="AA170" s="299">
        <v>2019</v>
      </c>
      <c r="AB170" s="299">
        <v>1370</v>
      </c>
      <c r="AC170" s="300" t="s">
        <v>255</v>
      </c>
      <c r="AD170" s="299">
        <v>755</v>
      </c>
      <c r="AE170" s="299">
        <v>44</v>
      </c>
      <c r="AF170" s="294" t="s">
        <v>385</v>
      </c>
      <c r="AG170" s="294" t="s">
        <v>404</v>
      </c>
      <c r="AH170" s="294" t="s">
        <v>400</v>
      </c>
      <c r="AI170" s="301">
        <v>41951000</v>
      </c>
    </row>
    <row r="171" spans="1:35">
      <c r="A171">
        <v>2016</v>
      </c>
      <c r="B171">
        <v>3050</v>
      </c>
      <c r="C171" t="s">
        <v>254</v>
      </c>
      <c r="D171" t="s">
        <v>245</v>
      </c>
      <c r="E171" s="203">
        <v>92</v>
      </c>
      <c r="F171" s="203" t="s">
        <v>246</v>
      </c>
      <c r="G171" s="203" t="s">
        <v>247</v>
      </c>
      <c r="H171" s="204" t="s">
        <v>249</v>
      </c>
      <c r="I171" s="202">
        <v>0</v>
      </c>
      <c r="J171" s="202">
        <v>0</v>
      </c>
      <c r="K171" s="202">
        <v>0</v>
      </c>
      <c r="M171" s="254">
        <v>2019</v>
      </c>
      <c r="N171" s="254">
        <v>1370</v>
      </c>
      <c r="O171" s="255" t="s">
        <v>255</v>
      </c>
      <c r="P171" s="254">
        <v>410</v>
      </c>
      <c r="Q171" s="254">
        <v>217</v>
      </c>
      <c r="R171" s="255" t="s">
        <v>37</v>
      </c>
      <c r="S171" s="255" t="s">
        <v>156</v>
      </c>
      <c r="T171" s="265">
        <v>0</v>
      </c>
      <c r="U171" s="265">
        <v>0</v>
      </c>
      <c r="V171" s="265">
        <v>0</v>
      </c>
      <c r="W171" s="265">
        <v>0</v>
      </c>
      <c r="X171" s="265">
        <v>0</v>
      </c>
      <c r="AA171" s="299">
        <v>2019</v>
      </c>
      <c r="AB171" s="299">
        <v>1370</v>
      </c>
      <c r="AC171" s="300" t="s">
        <v>255</v>
      </c>
      <c r="AD171" s="299">
        <v>755</v>
      </c>
      <c r="AE171" s="299">
        <v>45</v>
      </c>
      <c r="AF171" s="294" t="s">
        <v>385</v>
      </c>
      <c r="AG171" s="294" t="s">
        <v>405</v>
      </c>
      <c r="AH171" s="294" t="s">
        <v>402</v>
      </c>
      <c r="AI171" s="301">
        <v>2551000</v>
      </c>
    </row>
    <row r="172" spans="1:35">
      <c r="A172">
        <v>2016</v>
      </c>
      <c r="B172">
        <v>3050</v>
      </c>
      <c r="C172" t="s">
        <v>254</v>
      </c>
      <c r="D172" t="s">
        <v>245</v>
      </c>
      <c r="E172" s="203">
        <v>93</v>
      </c>
      <c r="F172" s="203" t="s">
        <v>250</v>
      </c>
      <c r="G172" s="203" t="s">
        <v>247</v>
      </c>
      <c r="H172" s="203" t="s">
        <v>248</v>
      </c>
      <c r="I172" s="202">
        <v>335</v>
      </c>
      <c r="J172" s="202">
        <v>13602</v>
      </c>
      <c r="K172" s="202">
        <v>37453000</v>
      </c>
      <c r="M172" s="254">
        <v>2019</v>
      </c>
      <c r="N172" s="254">
        <v>1370</v>
      </c>
      <c r="O172" s="255" t="s">
        <v>255</v>
      </c>
      <c r="P172" s="254">
        <v>410</v>
      </c>
      <c r="Q172" s="254">
        <v>218</v>
      </c>
      <c r="R172" s="255" t="s">
        <v>37</v>
      </c>
      <c r="S172" s="255" t="s">
        <v>158</v>
      </c>
      <c r="T172" s="265">
        <v>0</v>
      </c>
      <c r="U172" s="265">
        <v>0</v>
      </c>
      <c r="V172" s="265">
        <v>0</v>
      </c>
      <c r="W172" s="265">
        <v>0</v>
      </c>
      <c r="X172" s="265">
        <v>0</v>
      </c>
      <c r="AA172" s="299">
        <v>2019</v>
      </c>
      <c r="AB172" s="299">
        <v>1370</v>
      </c>
      <c r="AC172" s="300" t="s">
        <v>255</v>
      </c>
      <c r="AD172" s="299">
        <v>755</v>
      </c>
      <c r="AE172" s="299">
        <v>46</v>
      </c>
      <c r="AF172" s="294" t="s">
        <v>385</v>
      </c>
      <c r="AG172" s="294" t="s">
        <v>405</v>
      </c>
      <c r="AH172" s="294" t="s">
        <v>406</v>
      </c>
      <c r="AI172" s="301">
        <v>165054000</v>
      </c>
    </row>
    <row r="173" spans="1:35">
      <c r="A173">
        <v>2016</v>
      </c>
      <c r="B173">
        <v>3050</v>
      </c>
      <c r="C173" t="s">
        <v>254</v>
      </c>
      <c r="D173" t="s">
        <v>245</v>
      </c>
      <c r="E173" s="203">
        <v>94</v>
      </c>
      <c r="F173" s="203" t="s">
        <v>250</v>
      </c>
      <c r="G173" s="203" t="s">
        <v>247</v>
      </c>
      <c r="H173" s="204" t="s">
        <v>249</v>
      </c>
      <c r="I173" s="202">
        <v>0</v>
      </c>
      <c r="J173" s="202">
        <v>0</v>
      </c>
      <c r="K173" s="202">
        <v>0</v>
      </c>
      <c r="AA173" s="299">
        <v>2019</v>
      </c>
      <c r="AB173" s="299">
        <v>1370</v>
      </c>
      <c r="AC173" s="300" t="s">
        <v>255</v>
      </c>
      <c r="AD173" s="299">
        <v>755</v>
      </c>
      <c r="AE173" s="299">
        <v>47</v>
      </c>
      <c r="AF173" s="294" t="s">
        <v>385</v>
      </c>
      <c r="AG173" s="294" t="s">
        <v>407</v>
      </c>
      <c r="AH173" s="294" t="s">
        <v>387</v>
      </c>
      <c r="AI173" s="301">
        <v>0</v>
      </c>
    </row>
    <row r="174" spans="1:35">
      <c r="A174">
        <v>2016</v>
      </c>
      <c r="B174">
        <v>3050</v>
      </c>
      <c r="C174" t="s">
        <v>254</v>
      </c>
      <c r="D174" t="s">
        <v>245</v>
      </c>
      <c r="E174" s="203">
        <v>97</v>
      </c>
      <c r="F174" s="203" t="s">
        <v>251</v>
      </c>
      <c r="G174" s="203" t="s">
        <v>247</v>
      </c>
      <c r="H174" s="203" t="s">
        <v>248</v>
      </c>
      <c r="I174" s="202">
        <v>0</v>
      </c>
      <c r="J174" s="202">
        <v>0</v>
      </c>
      <c r="K174" s="202">
        <v>0</v>
      </c>
      <c r="AA174" s="299">
        <v>2019</v>
      </c>
      <c r="AB174" s="299">
        <v>1370</v>
      </c>
      <c r="AC174" s="300" t="s">
        <v>255</v>
      </c>
      <c r="AD174" s="299">
        <v>755</v>
      </c>
      <c r="AE174" s="299">
        <v>48</v>
      </c>
      <c r="AF174" s="294" t="s">
        <v>385</v>
      </c>
      <c r="AG174" s="294" t="s">
        <v>407</v>
      </c>
      <c r="AH174" s="294" t="s">
        <v>388</v>
      </c>
      <c r="AI174" s="301">
        <v>959000</v>
      </c>
    </row>
    <row r="175" spans="1:35">
      <c r="A175">
        <v>2016</v>
      </c>
      <c r="B175">
        <v>3050</v>
      </c>
      <c r="C175" t="s">
        <v>254</v>
      </c>
      <c r="D175" t="s">
        <v>245</v>
      </c>
      <c r="E175" s="203">
        <v>98</v>
      </c>
      <c r="F175" s="203" t="s">
        <v>251</v>
      </c>
      <c r="G175" s="203" t="s">
        <v>247</v>
      </c>
      <c r="H175" s="204" t="s">
        <v>249</v>
      </c>
      <c r="I175" s="202">
        <v>0</v>
      </c>
      <c r="J175" s="202">
        <v>0</v>
      </c>
      <c r="K175" s="202">
        <v>0</v>
      </c>
      <c r="AA175" s="299">
        <v>2019</v>
      </c>
      <c r="AB175" s="299">
        <v>1370</v>
      </c>
      <c r="AC175" s="300" t="s">
        <v>255</v>
      </c>
      <c r="AD175" s="299">
        <v>755</v>
      </c>
      <c r="AE175" s="299">
        <v>49</v>
      </c>
      <c r="AF175" s="294" t="s">
        <v>385</v>
      </c>
      <c r="AG175" s="294" t="s">
        <v>407</v>
      </c>
      <c r="AH175" s="294" t="s">
        <v>389</v>
      </c>
      <c r="AI175" s="301">
        <v>11700000</v>
      </c>
    </row>
    <row r="176" spans="1:35" ht="16" customHeight="1">
      <c r="A176">
        <v>2016</v>
      </c>
      <c r="B176">
        <v>1370</v>
      </c>
      <c r="C176" t="s">
        <v>255</v>
      </c>
      <c r="D176" t="s">
        <v>245</v>
      </c>
      <c r="E176" s="203">
        <v>91</v>
      </c>
      <c r="F176" s="203" t="s">
        <v>246</v>
      </c>
      <c r="G176" s="203" t="s">
        <v>247</v>
      </c>
      <c r="H176" s="203" t="s">
        <v>248</v>
      </c>
      <c r="I176" s="202">
        <v>90</v>
      </c>
      <c r="J176" s="202">
        <v>18728</v>
      </c>
      <c r="K176" s="202">
        <v>257526000</v>
      </c>
      <c r="AA176" s="299">
        <v>2019</v>
      </c>
      <c r="AB176" s="299">
        <v>1370</v>
      </c>
      <c r="AC176" s="300" t="s">
        <v>255</v>
      </c>
      <c r="AD176" s="299">
        <v>755</v>
      </c>
      <c r="AE176" s="299">
        <v>50</v>
      </c>
      <c r="AF176" s="294" t="s">
        <v>385</v>
      </c>
      <c r="AG176" s="294" t="s">
        <v>407</v>
      </c>
      <c r="AH176" s="294" t="s">
        <v>390</v>
      </c>
      <c r="AI176" s="301">
        <v>8316000</v>
      </c>
    </row>
    <row r="177" spans="1:35" ht="16" customHeight="1">
      <c r="A177">
        <v>2016</v>
      </c>
      <c r="B177">
        <v>1370</v>
      </c>
      <c r="C177" t="s">
        <v>255</v>
      </c>
      <c r="D177" t="s">
        <v>245</v>
      </c>
      <c r="E177" s="203">
        <v>92</v>
      </c>
      <c r="F177" s="203" t="s">
        <v>246</v>
      </c>
      <c r="G177" s="203" t="s">
        <v>247</v>
      </c>
      <c r="H177" s="204" t="s">
        <v>249</v>
      </c>
      <c r="I177" s="202">
        <v>0</v>
      </c>
      <c r="J177" s="202">
        <v>0</v>
      </c>
      <c r="K177" s="202">
        <v>0</v>
      </c>
      <c r="AA177" s="299">
        <v>2019</v>
      </c>
      <c r="AB177" s="299">
        <v>1370</v>
      </c>
      <c r="AC177" s="300" t="s">
        <v>255</v>
      </c>
      <c r="AD177" s="299">
        <v>755</v>
      </c>
      <c r="AE177" s="299">
        <v>51</v>
      </c>
      <c r="AF177" s="294" t="s">
        <v>385</v>
      </c>
      <c r="AG177" s="294" t="s">
        <v>407</v>
      </c>
      <c r="AH177" s="294" t="s">
        <v>391</v>
      </c>
      <c r="AI177" s="301">
        <v>7114000</v>
      </c>
    </row>
    <row r="178" spans="1:35" ht="16" customHeight="1">
      <c r="A178">
        <v>2016</v>
      </c>
      <c r="B178">
        <v>1370</v>
      </c>
      <c r="C178" t="s">
        <v>255</v>
      </c>
      <c r="D178" t="s">
        <v>245</v>
      </c>
      <c r="E178" s="203">
        <v>93</v>
      </c>
      <c r="F178" s="203" t="s">
        <v>250</v>
      </c>
      <c r="G178" s="203" t="s">
        <v>247</v>
      </c>
      <c r="H178" s="203" t="s">
        <v>248</v>
      </c>
      <c r="I178" s="202">
        <v>0</v>
      </c>
      <c r="J178" s="202">
        <v>0</v>
      </c>
      <c r="K178" s="202">
        <v>0</v>
      </c>
      <c r="AA178" s="299">
        <v>2019</v>
      </c>
      <c r="AB178" s="299">
        <v>1370</v>
      </c>
      <c r="AC178" s="300" t="s">
        <v>255</v>
      </c>
      <c r="AD178" s="299">
        <v>755</v>
      </c>
      <c r="AE178" s="299">
        <v>52</v>
      </c>
      <c r="AF178" s="294" t="s">
        <v>385</v>
      </c>
      <c r="AG178" s="294" t="s">
        <v>407</v>
      </c>
      <c r="AH178" s="294" t="s">
        <v>392</v>
      </c>
      <c r="AI178" s="301">
        <v>166475000</v>
      </c>
    </row>
    <row r="179" spans="1:35" ht="16" customHeight="1">
      <c r="A179">
        <v>2016</v>
      </c>
      <c r="B179">
        <v>1370</v>
      </c>
      <c r="C179" t="s">
        <v>255</v>
      </c>
      <c r="D179" t="s">
        <v>245</v>
      </c>
      <c r="E179" s="203">
        <v>94</v>
      </c>
      <c r="F179" s="203" t="s">
        <v>250</v>
      </c>
      <c r="G179" s="203" t="s">
        <v>247</v>
      </c>
      <c r="H179" s="204" t="s">
        <v>249</v>
      </c>
      <c r="I179" s="202">
        <v>0</v>
      </c>
      <c r="J179" s="202">
        <v>0</v>
      </c>
      <c r="K179" s="202">
        <v>0</v>
      </c>
      <c r="AA179" s="299">
        <v>2019</v>
      </c>
      <c r="AB179" s="299">
        <v>1370</v>
      </c>
      <c r="AC179" s="300" t="s">
        <v>255</v>
      </c>
      <c r="AD179" s="299">
        <v>755</v>
      </c>
      <c r="AE179" s="299">
        <v>53</v>
      </c>
      <c r="AF179" s="294" t="s">
        <v>385</v>
      </c>
      <c r="AG179" s="294" t="s">
        <v>407</v>
      </c>
      <c r="AH179" s="294" t="s">
        <v>393</v>
      </c>
      <c r="AI179" s="301">
        <v>4306000</v>
      </c>
    </row>
    <row r="180" spans="1:35" ht="16" customHeight="1">
      <c r="A180">
        <v>2016</v>
      </c>
      <c r="B180">
        <v>1370</v>
      </c>
      <c r="C180" t="s">
        <v>255</v>
      </c>
      <c r="D180" t="s">
        <v>245</v>
      </c>
      <c r="E180" s="203">
        <v>95</v>
      </c>
      <c r="F180" s="203" t="s">
        <v>251</v>
      </c>
      <c r="G180" s="203" t="s">
        <v>247</v>
      </c>
      <c r="H180" s="203" t="s">
        <v>248</v>
      </c>
      <c r="I180" s="202">
        <v>0</v>
      </c>
      <c r="J180" s="202">
        <v>0</v>
      </c>
      <c r="K180" s="202">
        <v>0</v>
      </c>
      <c r="AA180" s="299">
        <v>2019</v>
      </c>
      <c r="AB180" s="299">
        <v>1370</v>
      </c>
      <c r="AC180" s="300" t="s">
        <v>255</v>
      </c>
      <c r="AD180" s="299">
        <v>755</v>
      </c>
      <c r="AE180" s="299">
        <v>54</v>
      </c>
      <c r="AF180" s="294" t="s">
        <v>385</v>
      </c>
      <c r="AG180" s="294" t="s">
        <v>407</v>
      </c>
      <c r="AH180" s="294" t="s">
        <v>394</v>
      </c>
      <c r="AI180" s="301">
        <v>47405000</v>
      </c>
    </row>
    <row r="181" spans="1:35" ht="16" customHeight="1">
      <c r="A181">
        <v>2016</v>
      </c>
      <c r="B181">
        <v>1370</v>
      </c>
      <c r="C181" t="s">
        <v>255</v>
      </c>
      <c r="D181" t="s">
        <v>245</v>
      </c>
      <c r="E181" s="203">
        <v>96</v>
      </c>
      <c r="F181" s="203" t="s">
        <v>251</v>
      </c>
      <c r="G181" s="203" t="s">
        <v>247</v>
      </c>
      <c r="H181" s="204" t="s">
        <v>249</v>
      </c>
      <c r="I181" s="202">
        <v>0</v>
      </c>
      <c r="J181" s="202">
        <v>0</v>
      </c>
      <c r="K181" s="202">
        <v>0</v>
      </c>
      <c r="AA181" s="299">
        <v>2019</v>
      </c>
      <c r="AB181" s="299">
        <v>1370</v>
      </c>
      <c r="AC181" s="300" t="s">
        <v>255</v>
      </c>
      <c r="AD181" s="299">
        <v>755</v>
      </c>
      <c r="AE181" s="299">
        <v>55</v>
      </c>
      <c r="AF181" s="294" t="s">
        <v>385</v>
      </c>
      <c r="AG181" s="294" t="s">
        <v>407</v>
      </c>
      <c r="AH181" s="294" t="s">
        <v>395</v>
      </c>
      <c r="AI181" s="301">
        <v>597000</v>
      </c>
    </row>
    <row r="182" spans="1:35" ht="16" customHeight="1">
      <c r="A182">
        <v>2016</v>
      </c>
      <c r="B182">
        <v>2670</v>
      </c>
      <c r="C182" t="s">
        <v>257</v>
      </c>
      <c r="D182" t="s">
        <v>245</v>
      </c>
      <c r="E182" s="203">
        <v>91</v>
      </c>
      <c r="F182" s="203" t="s">
        <v>246</v>
      </c>
      <c r="G182" s="203" t="s">
        <v>247</v>
      </c>
      <c r="H182" s="203" t="s">
        <v>248</v>
      </c>
      <c r="I182" s="202">
        <v>90</v>
      </c>
      <c r="J182" s="202">
        <v>18728</v>
      </c>
      <c r="K182" s="202">
        <v>257526000</v>
      </c>
      <c r="AA182" s="299">
        <v>2019</v>
      </c>
      <c r="AB182" s="299">
        <v>1370</v>
      </c>
      <c r="AC182" s="300" t="s">
        <v>255</v>
      </c>
      <c r="AD182" s="299">
        <v>755</v>
      </c>
      <c r="AE182" s="299">
        <v>56</v>
      </c>
      <c r="AF182" s="294" t="s">
        <v>385</v>
      </c>
      <c r="AG182" s="294" t="s">
        <v>407</v>
      </c>
      <c r="AH182" s="294" t="s">
        <v>396</v>
      </c>
      <c r="AI182" s="301">
        <v>16000</v>
      </c>
    </row>
    <row r="183" spans="1:35" ht="16" customHeight="1">
      <c r="A183">
        <v>2016</v>
      </c>
      <c r="B183">
        <v>2670</v>
      </c>
      <c r="C183" t="s">
        <v>257</v>
      </c>
      <c r="D183" t="s">
        <v>245</v>
      </c>
      <c r="E183" s="203">
        <v>92</v>
      </c>
      <c r="F183" s="203" t="s">
        <v>246</v>
      </c>
      <c r="G183" s="203" t="s">
        <v>247</v>
      </c>
      <c r="H183" s="204" t="s">
        <v>249</v>
      </c>
      <c r="I183" s="202">
        <v>0</v>
      </c>
      <c r="J183" s="202">
        <v>0</v>
      </c>
      <c r="K183" s="202">
        <v>0</v>
      </c>
      <c r="AA183" s="299">
        <v>2019</v>
      </c>
      <c r="AB183" s="299">
        <v>1370</v>
      </c>
      <c r="AC183" s="300" t="s">
        <v>255</v>
      </c>
      <c r="AD183" s="299">
        <v>755</v>
      </c>
      <c r="AE183" s="299">
        <v>57</v>
      </c>
      <c r="AF183" s="294" t="s">
        <v>385</v>
      </c>
      <c r="AG183" s="294" t="s">
        <v>407</v>
      </c>
      <c r="AH183" s="294" t="s">
        <v>397</v>
      </c>
      <c r="AI183" s="301">
        <v>51293000</v>
      </c>
    </row>
    <row r="184" spans="1:35" ht="16" customHeight="1">
      <c r="A184">
        <v>2016</v>
      </c>
      <c r="B184">
        <v>2670</v>
      </c>
      <c r="C184" t="s">
        <v>257</v>
      </c>
      <c r="D184" t="s">
        <v>245</v>
      </c>
      <c r="E184" s="203">
        <v>93</v>
      </c>
      <c r="F184" s="203" t="s">
        <v>250</v>
      </c>
      <c r="G184" s="203" t="s">
        <v>247</v>
      </c>
      <c r="H184" s="203" t="s">
        <v>248</v>
      </c>
      <c r="I184" s="202">
        <v>0</v>
      </c>
      <c r="J184" s="202">
        <v>0</v>
      </c>
      <c r="K184" s="202">
        <v>0</v>
      </c>
      <c r="AA184" s="299">
        <v>2019</v>
      </c>
      <c r="AB184" s="299">
        <v>1370</v>
      </c>
      <c r="AC184" s="300" t="s">
        <v>255</v>
      </c>
      <c r="AD184" s="299">
        <v>755</v>
      </c>
      <c r="AE184" s="299">
        <v>58</v>
      </c>
      <c r="AF184" s="294" t="s">
        <v>385</v>
      </c>
      <c r="AG184" s="294" t="s">
        <v>407</v>
      </c>
      <c r="AH184" s="294" t="s">
        <v>398</v>
      </c>
      <c r="AI184" s="301">
        <v>53886000</v>
      </c>
    </row>
    <row r="185" spans="1:35" ht="16" customHeight="1">
      <c r="A185">
        <v>2016</v>
      </c>
      <c r="B185">
        <v>2670</v>
      </c>
      <c r="C185" t="s">
        <v>257</v>
      </c>
      <c r="D185" t="s">
        <v>245</v>
      </c>
      <c r="E185" s="203">
        <v>94</v>
      </c>
      <c r="F185" s="203" t="s">
        <v>250</v>
      </c>
      <c r="G185" s="203" t="s">
        <v>247</v>
      </c>
      <c r="H185" s="204" t="s">
        <v>249</v>
      </c>
      <c r="I185" s="202">
        <v>0</v>
      </c>
      <c r="J185" s="202">
        <v>0</v>
      </c>
      <c r="K185" s="202">
        <v>0</v>
      </c>
      <c r="AA185" s="299">
        <v>2019</v>
      </c>
      <c r="AB185" s="299">
        <v>1370</v>
      </c>
      <c r="AC185" s="300" t="s">
        <v>255</v>
      </c>
      <c r="AD185" s="299">
        <v>755</v>
      </c>
      <c r="AE185" s="299">
        <v>59</v>
      </c>
      <c r="AF185" s="294" t="s">
        <v>385</v>
      </c>
      <c r="AG185" s="294" t="s">
        <v>407</v>
      </c>
      <c r="AH185" s="294" t="s">
        <v>399</v>
      </c>
      <c r="AI185" s="301">
        <v>96000</v>
      </c>
    </row>
    <row r="186" spans="1:35" ht="16" customHeight="1">
      <c r="A186">
        <v>2016</v>
      </c>
      <c r="B186">
        <v>2670</v>
      </c>
      <c r="C186" t="s">
        <v>257</v>
      </c>
      <c r="D186" t="s">
        <v>245</v>
      </c>
      <c r="E186" s="203">
        <v>97</v>
      </c>
      <c r="F186" s="203" t="s">
        <v>251</v>
      </c>
      <c r="G186" s="203" t="s">
        <v>247</v>
      </c>
      <c r="H186" s="203" t="s">
        <v>248</v>
      </c>
      <c r="I186" s="202">
        <v>0</v>
      </c>
      <c r="J186" s="202">
        <v>0</v>
      </c>
      <c r="K186" s="202">
        <v>0</v>
      </c>
      <c r="AA186" s="299">
        <v>2019</v>
      </c>
      <c r="AB186" s="299">
        <v>1370</v>
      </c>
      <c r="AC186" s="300" t="s">
        <v>255</v>
      </c>
      <c r="AD186" s="299">
        <v>755</v>
      </c>
      <c r="AE186" s="299">
        <v>60</v>
      </c>
      <c r="AF186" s="294" t="s">
        <v>385</v>
      </c>
      <c r="AG186" s="294" t="s">
        <v>407</v>
      </c>
      <c r="AH186" s="294" t="s">
        <v>400</v>
      </c>
      <c r="AI186" s="301">
        <v>5619000</v>
      </c>
    </row>
    <row r="187" spans="1:35" ht="16" customHeight="1">
      <c r="A187">
        <v>2016</v>
      </c>
      <c r="B187">
        <v>2670</v>
      </c>
      <c r="C187" t="s">
        <v>257</v>
      </c>
      <c r="D187" t="s">
        <v>245</v>
      </c>
      <c r="E187" s="203">
        <v>98</v>
      </c>
      <c r="F187" s="203" t="s">
        <v>251</v>
      </c>
      <c r="G187" s="203" t="s">
        <v>247</v>
      </c>
      <c r="H187" s="204" t="s">
        <v>249</v>
      </c>
      <c r="I187" s="202">
        <v>0</v>
      </c>
      <c r="J187" s="202">
        <v>0</v>
      </c>
      <c r="K187" s="202">
        <v>0</v>
      </c>
      <c r="AA187" s="299">
        <v>2019</v>
      </c>
      <c r="AB187" s="299">
        <v>1370</v>
      </c>
      <c r="AC187" s="300" t="s">
        <v>255</v>
      </c>
      <c r="AD187" s="299">
        <v>755</v>
      </c>
      <c r="AE187" s="299">
        <v>61</v>
      </c>
      <c r="AF187" s="294" t="s">
        <v>385</v>
      </c>
      <c r="AG187" s="294" t="s">
        <v>407</v>
      </c>
      <c r="AH187" s="294" t="s">
        <v>408</v>
      </c>
      <c r="AI187" s="301">
        <v>43626000</v>
      </c>
    </row>
    <row r="188" spans="1:35" ht="16" customHeight="1">
      <c r="A188">
        <v>2016</v>
      </c>
      <c r="B188">
        <v>1550</v>
      </c>
      <c r="C188" t="s">
        <v>258</v>
      </c>
      <c r="D188" t="s">
        <v>245</v>
      </c>
      <c r="E188" s="203">
        <v>91</v>
      </c>
      <c r="F188" s="203" t="s">
        <v>246</v>
      </c>
      <c r="G188" s="203" t="s">
        <v>247</v>
      </c>
      <c r="H188" s="203" t="s">
        <v>248</v>
      </c>
      <c r="I188" s="202">
        <v>66</v>
      </c>
      <c r="J188" s="202">
        <v>13120</v>
      </c>
      <c r="K188" s="202">
        <v>145611000</v>
      </c>
      <c r="AA188" s="299">
        <v>2019</v>
      </c>
      <c r="AB188" s="299">
        <v>1370</v>
      </c>
      <c r="AC188" s="300" t="s">
        <v>255</v>
      </c>
      <c r="AD188" s="299">
        <v>755</v>
      </c>
      <c r="AE188" s="299">
        <v>62</v>
      </c>
      <c r="AF188" s="294" t="s">
        <v>385</v>
      </c>
      <c r="AG188" s="294" t="s">
        <v>407</v>
      </c>
      <c r="AH188" s="294" t="s">
        <v>409</v>
      </c>
      <c r="AI188" s="301">
        <v>129255000</v>
      </c>
    </row>
    <row r="189" spans="1:35" ht="16" customHeight="1">
      <c r="A189">
        <v>2016</v>
      </c>
      <c r="B189">
        <v>1550</v>
      </c>
      <c r="C189" t="s">
        <v>258</v>
      </c>
      <c r="D189" t="s">
        <v>245</v>
      </c>
      <c r="E189" s="203">
        <v>92</v>
      </c>
      <c r="F189" s="203" t="s">
        <v>246</v>
      </c>
      <c r="G189" s="203" t="s">
        <v>247</v>
      </c>
      <c r="H189" s="204" t="s">
        <v>249</v>
      </c>
      <c r="I189" s="202">
        <v>97</v>
      </c>
      <c r="J189" s="202">
        <v>19041</v>
      </c>
      <c r="K189" s="202">
        <v>105373000</v>
      </c>
      <c r="AA189" s="299">
        <v>2019</v>
      </c>
      <c r="AB189" s="299">
        <v>1370</v>
      </c>
      <c r="AC189" s="300" t="s">
        <v>255</v>
      </c>
      <c r="AD189" s="299">
        <v>755</v>
      </c>
      <c r="AE189" s="299">
        <v>63</v>
      </c>
      <c r="AF189" s="294" t="s">
        <v>385</v>
      </c>
      <c r="AG189" s="294" t="s">
        <v>410</v>
      </c>
      <c r="AH189" s="294" t="s">
        <v>402</v>
      </c>
      <c r="AI189" s="301">
        <v>108468000</v>
      </c>
    </row>
    <row r="190" spans="1:35" ht="16" customHeight="1">
      <c r="A190">
        <v>2016</v>
      </c>
      <c r="B190">
        <v>1550</v>
      </c>
      <c r="C190" t="s">
        <v>258</v>
      </c>
      <c r="D190" t="s">
        <v>245</v>
      </c>
      <c r="E190" s="203">
        <v>93</v>
      </c>
      <c r="F190" s="203" t="s">
        <v>250</v>
      </c>
      <c r="G190" s="203" t="s">
        <v>247</v>
      </c>
      <c r="H190" s="203" t="s">
        <v>248</v>
      </c>
      <c r="I190" s="202">
        <v>836</v>
      </c>
      <c r="J190" s="202">
        <v>26000</v>
      </c>
      <c r="K190" s="202">
        <v>75947000</v>
      </c>
      <c r="AA190" s="299">
        <v>2019</v>
      </c>
      <c r="AB190" s="299">
        <v>1370</v>
      </c>
      <c r="AC190" s="300" t="s">
        <v>255</v>
      </c>
      <c r="AD190" s="299">
        <v>755</v>
      </c>
      <c r="AE190" s="299">
        <v>64</v>
      </c>
      <c r="AF190" s="294" t="s">
        <v>385</v>
      </c>
      <c r="AG190" s="294" t="s">
        <v>410</v>
      </c>
      <c r="AH190" s="294" t="s">
        <v>411</v>
      </c>
      <c r="AI190" s="301">
        <v>639131000</v>
      </c>
    </row>
    <row r="191" spans="1:35" ht="16" customHeight="1">
      <c r="A191">
        <v>2016</v>
      </c>
      <c r="B191">
        <v>1550</v>
      </c>
      <c r="C191" t="s">
        <v>258</v>
      </c>
      <c r="D191" t="s">
        <v>245</v>
      </c>
      <c r="E191" s="203">
        <v>94</v>
      </c>
      <c r="F191" s="203" t="s">
        <v>250</v>
      </c>
      <c r="G191" s="203" t="s">
        <v>247</v>
      </c>
      <c r="H191" s="203" t="s">
        <v>249</v>
      </c>
      <c r="I191" s="202">
        <v>0</v>
      </c>
      <c r="J191" s="202">
        <v>0</v>
      </c>
      <c r="K191" s="202">
        <v>0</v>
      </c>
      <c r="AA191" s="299">
        <v>2019</v>
      </c>
      <c r="AB191" s="299">
        <v>1370</v>
      </c>
      <c r="AC191" s="300" t="s">
        <v>255</v>
      </c>
      <c r="AD191" s="299">
        <v>755</v>
      </c>
      <c r="AE191" s="299">
        <v>65</v>
      </c>
      <c r="AF191" s="294" t="s">
        <v>385</v>
      </c>
      <c r="AG191" s="294" t="s">
        <v>412</v>
      </c>
      <c r="AH191" s="294" t="s">
        <v>387</v>
      </c>
      <c r="AI191" s="301">
        <v>0</v>
      </c>
    </row>
    <row r="192" spans="1:35" ht="16" customHeight="1">
      <c r="A192">
        <v>2016</v>
      </c>
      <c r="B192">
        <v>1550</v>
      </c>
      <c r="C192" t="s">
        <v>258</v>
      </c>
      <c r="D192" t="s">
        <v>245</v>
      </c>
      <c r="E192">
        <v>97</v>
      </c>
      <c r="F192" t="s">
        <v>251</v>
      </c>
      <c r="G192" t="s">
        <v>247</v>
      </c>
      <c r="H192" t="s">
        <v>248</v>
      </c>
      <c r="I192" s="202">
        <v>0</v>
      </c>
      <c r="J192" s="202">
        <v>0</v>
      </c>
      <c r="K192" s="202">
        <v>0</v>
      </c>
      <c r="AA192" s="299">
        <v>2019</v>
      </c>
      <c r="AB192" s="299">
        <v>1370</v>
      </c>
      <c r="AC192" s="300" t="s">
        <v>255</v>
      </c>
      <c r="AD192" s="299">
        <v>755</v>
      </c>
      <c r="AE192" s="299">
        <v>66</v>
      </c>
      <c r="AF192" s="294" t="s">
        <v>385</v>
      </c>
      <c r="AG192" s="294" t="s">
        <v>412</v>
      </c>
      <c r="AH192" s="294" t="s">
        <v>388</v>
      </c>
      <c r="AI192" s="301">
        <v>1202000</v>
      </c>
    </row>
    <row r="193" spans="1:35" ht="16" customHeight="1">
      <c r="A193">
        <v>2016</v>
      </c>
      <c r="B193">
        <v>1550</v>
      </c>
      <c r="C193" t="s">
        <v>258</v>
      </c>
      <c r="D193" t="s">
        <v>245</v>
      </c>
      <c r="E193">
        <v>98</v>
      </c>
      <c r="F193" t="s">
        <v>251</v>
      </c>
      <c r="G193" t="s">
        <v>247</v>
      </c>
      <c r="H193" t="s">
        <v>249</v>
      </c>
      <c r="I193" s="202">
        <v>0</v>
      </c>
      <c r="J193" s="202">
        <v>0</v>
      </c>
      <c r="K193" s="202">
        <v>0</v>
      </c>
      <c r="AA193" s="299">
        <v>2019</v>
      </c>
      <c r="AB193" s="299">
        <v>1370</v>
      </c>
      <c r="AC193" s="300" t="s">
        <v>255</v>
      </c>
      <c r="AD193" s="299">
        <v>755</v>
      </c>
      <c r="AE193" s="299">
        <v>67</v>
      </c>
      <c r="AF193" s="294" t="s">
        <v>385</v>
      </c>
      <c r="AG193" s="294" t="s">
        <v>412</v>
      </c>
      <c r="AH193" s="294" t="s">
        <v>389</v>
      </c>
      <c r="AI193" s="301">
        <v>10277000</v>
      </c>
    </row>
    <row r="194" spans="1:35" ht="16" customHeight="1">
      <c r="A194">
        <v>2015</v>
      </c>
      <c r="B194">
        <v>3740</v>
      </c>
      <c r="C194" t="s">
        <v>244</v>
      </c>
      <c r="D194" t="s">
        <v>245</v>
      </c>
      <c r="E194" s="203">
        <v>91</v>
      </c>
      <c r="F194" s="203" t="s">
        <v>246</v>
      </c>
      <c r="G194" s="203" t="s">
        <v>247</v>
      </c>
      <c r="H194" s="203" t="s">
        <v>248</v>
      </c>
      <c r="I194" s="202">
        <v>264</v>
      </c>
      <c r="J194" s="202">
        <v>55689</v>
      </c>
      <c r="K194" s="202">
        <v>707909000</v>
      </c>
      <c r="AA194" s="299">
        <v>2019</v>
      </c>
      <c r="AB194" s="299">
        <v>1370</v>
      </c>
      <c r="AC194" s="300" t="s">
        <v>255</v>
      </c>
      <c r="AD194" s="299">
        <v>755</v>
      </c>
      <c r="AE194" s="299">
        <v>68</v>
      </c>
      <c r="AF194" s="294" t="s">
        <v>385</v>
      </c>
      <c r="AG194" s="294" t="s">
        <v>412</v>
      </c>
      <c r="AH194" s="294" t="s">
        <v>390</v>
      </c>
      <c r="AI194" s="301">
        <v>8694000</v>
      </c>
    </row>
    <row r="195" spans="1:35" ht="16" customHeight="1">
      <c r="A195">
        <v>2015</v>
      </c>
      <c r="B195">
        <v>3740</v>
      </c>
      <c r="C195" t="s">
        <v>244</v>
      </c>
      <c r="D195" t="s">
        <v>245</v>
      </c>
      <c r="E195" s="203">
        <v>92</v>
      </c>
      <c r="F195" s="203" t="s">
        <v>246</v>
      </c>
      <c r="G195" s="203" t="s">
        <v>247</v>
      </c>
      <c r="H195" s="204" t="s">
        <v>249</v>
      </c>
      <c r="I195" s="202">
        <v>151</v>
      </c>
      <c r="J195" s="202">
        <v>27643</v>
      </c>
      <c r="K195" s="202">
        <v>168225000</v>
      </c>
      <c r="AA195" s="299">
        <v>2019</v>
      </c>
      <c r="AB195" s="299">
        <v>1370</v>
      </c>
      <c r="AC195" s="300" t="s">
        <v>255</v>
      </c>
      <c r="AD195" s="299">
        <v>755</v>
      </c>
      <c r="AE195" s="299">
        <v>69</v>
      </c>
      <c r="AF195" s="294" t="s">
        <v>385</v>
      </c>
      <c r="AG195" s="294" t="s">
        <v>412</v>
      </c>
      <c r="AH195" s="294" t="s">
        <v>391</v>
      </c>
      <c r="AI195" s="301">
        <v>7657000</v>
      </c>
    </row>
    <row r="196" spans="1:35" ht="16" customHeight="1">
      <c r="A196">
        <v>2015</v>
      </c>
      <c r="B196">
        <v>3740</v>
      </c>
      <c r="C196" t="s">
        <v>244</v>
      </c>
      <c r="D196" t="s">
        <v>245</v>
      </c>
      <c r="E196" s="203">
        <v>93</v>
      </c>
      <c r="F196" s="203" t="s">
        <v>250</v>
      </c>
      <c r="G196" s="203" t="s">
        <v>247</v>
      </c>
      <c r="H196" s="203" t="s">
        <v>248</v>
      </c>
      <c r="I196" s="202">
        <v>300</v>
      </c>
      <c r="J196" s="202">
        <v>15569</v>
      </c>
      <c r="K196" s="202">
        <v>82685000</v>
      </c>
      <c r="AA196" s="299">
        <v>2019</v>
      </c>
      <c r="AB196" s="299">
        <v>1370</v>
      </c>
      <c r="AC196" s="300" t="s">
        <v>255</v>
      </c>
      <c r="AD196" s="299">
        <v>755</v>
      </c>
      <c r="AE196" s="299">
        <v>70</v>
      </c>
      <c r="AF196" s="294" t="s">
        <v>385</v>
      </c>
      <c r="AG196" s="294" t="s">
        <v>412</v>
      </c>
      <c r="AH196" s="294" t="s">
        <v>392</v>
      </c>
      <c r="AI196" s="301">
        <v>178989000</v>
      </c>
    </row>
    <row r="197" spans="1:35" ht="16" customHeight="1">
      <c r="A197">
        <v>2015</v>
      </c>
      <c r="B197">
        <v>3740</v>
      </c>
      <c r="C197" t="s">
        <v>244</v>
      </c>
      <c r="D197" t="s">
        <v>245</v>
      </c>
      <c r="E197" s="203">
        <v>94</v>
      </c>
      <c r="F197" s="203" t="s">
        <v>250</v>
      </c>
      <c r="G197" s="203" t="s">
        <v>247</v>
      </c>
      <c r="H197" s="204" t="s">
        <v>249</v>
      </c>
      <c r="I197" s="202">
        <v>0</v>
      </c>
      <c r="J197" s="202">
        <v>0</v>
      </c>
      <c r="K197" s="202">
        <v>0</v>
      </c>
      <c r="AA197" s="299">
        <v>2019</v>
      </c>
      <c r="AB197" s="299">
        <v>1370</v>
      </c>
      <c r="AC197" s="300" t="s">
        <v>255</v>
      </c>
      <c r="AD197" s="299">
        <v>755</v>
      </c>
      <c r="AE197" s="299">
        <v>71</v>
      </c>
      <c r="AF197" s="294" t="s">
        <v>385</v>
      </c>
      <c r="AG197" s="294" t="s">
        <v>412</v>
      </c>
      <c r="AH197" s="294" t="s">
        <v>393</v>
      </c>
      <c r="AI197" s="301">
        <v>4352000</v>
      </c>
    </row>
    <row r="198" spans="1:35" ht="16" customHeight="1">
      <c r="A198">
        <v>2015</v>
      </c>
      <c r="B198">
        <v>3740</v>
      </c>
      <c r="C198" t="s">
        <v>244</v>
      </c>
      <c r="D198" t="s">
        <v>245</v>
      </c>
      <c r="E198" s="203">
        <v>97</v>
      </c>
      <c r="F198" s="203" t="s">
        <v>251</v>
      </c>
      <c r="G198" s="203" t="s">
        <v>247</v>
      </c>
      <c r="H198" s="203" t="s">
        <v>248</v>
      </c>
      <c r="I198" s="202">
        <v>12901</v>
      </c>
      <c r="J198" s="202">
        <v>56768</v>
      </c>
      <c r="K198" s="202">
        <v>152070000</v>
      </c>
      <c r="AA198" s="299">
        <v>2019</v>
      </c>
      <c r="AB198" s="299">
        <v>1370</v>
      </c>
      <c r="AC198" s="300" t="s">
        <v>255</v>
      </c>
      <c r="AD198" s="299">
        <v>755</v>
      </c>
      <c r="AE198" s="299">
        <v>72</v>
      </c>
      <c r="AF198" s="294" t="s">
        <v>385</v>
      </c>
      <c r="AG198" s="294" t="s">
        <v>412</v>
      </c>
      <c r="AH198" s="294" t="s">
        <v>394</v>
      </c>
      <c r="AI198" s="301">
        <v>48024000</v>
      </c>
    </row>
    <row r="199" spans="1:35">
      <c r="A199">
        <v>2015</v>
      </c>
      <c r="B199">
        <v>3740</v>
      </c>
      <c r="C199" t="s">
        <v>244</v>
      </c>
      <c r="D199" t="s">
        <v>245</v>
      </c>
      <c r="E199" s="203">
        <v>98</v>
      </c>
      <c r="F199" s="203" t="s">
        <v>251</v>
      </c>
      <c r="G199" s="203" t="s">
        <v>247</v>
      </c>
      <c r="H199" s="204" t="s">
        <v>249</v>
      </c>
      <c r="I199" s="202">
        <v>0</v>
      </c>
      <c r="J199" s="202">
        <v>0</v>
      </c>
      <c r="K199" s="202">
        <v>0</v>
      </c>
      <c r="AA199" s="299">
        <v>2019</v>
      </c>
      <c r="AB199" s="299">
        <v>1370</v>
      </c>
      <c r="AC199" s="300" t="s">
        <v>255</v>
      </c>
      <c r="AD199" s="299">
        <v>755</v>
      </c>
      <c r="AE199" s="299">
        <v>73</v>
      </c>
      <c r="AF199" s="294" t="s">
        <v>385</v>
      </c>
      <c r="AG199" s="294" t="s">
        <v>412</v>
      </c>
      <c r="AH199" s="294" t="s">
        <v>395</v>
      </c>
      <c r="AI199" s="301">
        <v>568000</v>
      </c>
    </row>
    <row r="200" spans="1:35">
      <c r="A200">
        <v>2015</v>
      </c>
      <c r="B200">
        <v>3680</v>
      </c>
      <c r="C200" t="s">
        <v>252</v>
      </c>
      <c r="D200" t="s">
        <v>245</v>
      </c>
      <c r="E200" s="203">
        <v>91</v>
      </c>
      <c r="F200" s="203" t="s">
        <v>246</v>
      </c>
      <c r="G200" s="203" t="s">
        <v>247</v>
      </c>
      <c r="H200" s="203" t="s">
        <v>248</v>
      </c>
      <c r="I200" s="202">
        <v>22</v>
      </c>
      <c r="J200" s="202">
        <v>4323</v>
      </c>
      <c r="K200" s="202">
        <v>38113000</v>
      </c>
      <c r="AA200" s="299">
        <v>2019</v>
      </c>
      <c r="AB200" s="299">
        <v>1370</v>
      </c>
      <c r="AC200" s="300" t="s">
        <v>255</v>
      </c>
      <c r="AD200" s="299">
        <v>755</v>
      </c>
      <c r="AE200" s="299">
        <v>74</v>
      </c>
      <c r="AF200" s="294" t="s">
        <v>385</v>
      </c>
      <c r="AG200" s="294" t="s">
        <v>412</v>
      </c>
      <c r="AH200" s="294" t="s">
        <v>396</v>
      </c>
      <c r="AI200" s="301">
        <v>21000</v>
      </c>
    </row>
    <row r="201" spans="1:35">
      <c r="A201">
        <v>2015</v>
      </c>
      <c r="B201">
        <v>3680</v>
      </c>
      <c r="C201" t="s">
        <v>252</v>
      </c>
      <c r="D201" t="s">
        <v>245</v>
      </c>
      <c r="E201" s="203">
        <v>92</v>
      </c>
      <c r="F201" s="203" t="s">
        <v>246</v>
      </c>
      <c r="G201" s="203" t="s">
        <v>247</v>
      </c>
      <c r="H201" s="204" t="s">
        <v>249</v>
      </c>
      <c r="I201" s="202">
        <v>0</v>
      </c>
      <c r="J201" s="202">
        <v>0</v>
      </c>
      <c r="K201" s="202">
        <v>0</v>
      </c>
      <c r="AA201" s="299">
        <v>2019</v>
      </c>
      <c r="AB201" s="299">
        <v>1370</v>
      </c>
      <c r="AC201" s="300" t="s">
        <v>255</v>
      </c>
      <c r="AD201" s="299">
        <v>755</v>
      </c>
      <c r="AE201" s="299">
        <v>75</v>
      </c>
      <c r="AF201" s="294" t="s">
        <v>385</v>
      </c>
      <c r="AG201" s="294" t="s">
        <v>412</v>
      </c>
      <c r="AH201" s="294" t="s">
        <v>397</v>
      </c>
      <c r="AI201" s="301">
        <v>1793000</v>
      </c>
    </row>
    <row r="202" spans="1:35">
      <c r="A202">
        <v>2015</v>
      </c>
      <c r="B202">
        <v>3680</v>
      </c>
      <c r="C202" t="s">
        <v>252</v>
      </c>
      <c r="D202" t="s">
        <v>245</v>
      </c>
      <c r="E202" s="203">
        <v>93</v>
      </c>
      <c r="F202" s="203" t="s">
        <v>250</v>
      </c>
      <c r="G202" s="203" t="s">
        <v>247</v>
      </c>
      <c r="H202" s="203" t="s">
        <v>248</v>
      </c>
      <c r="I202" s="202">
        <v>0</v>
      </c>
      <c r="J202" s="202">
        <v>0</v>
      </c>
      <c r="K202" s="202">
        <v>0</v>
      </c>
      <c r="AA202" s="299">
        <v>2019</v>
      </c>
      <c r="AB202" s="299">
        <v>1370</v>
      </c>
      <c r="AC202" s="300" t="s">
        <v>255</v>
      </c>
      <c r="AD202" s="299">
        <v>755</v>
      </c>
      <c r="AE202" s="299">
        <v>76</v>
      </c>
      <c r="AF202" s="294" t="s">
        <v>385</v>
      </c>
      <c r="AG202" s="294" t="s">
        <v>412</v>
      </c>
      <c r="AH202" s="294" t="s">
        <v>398</v>
      </c>
      <c r="AI202" s="301">
        <v>26214000</v>
      </c>
    </row>
    <row r="203" spans="1:35">
      <c r="A203">
        <v>2015</v>
      </c>
      <c r="B203">
        <v>3680</v>
      </c>
      <c r="C203" t="s">
        <v>252</v>
      </c>
      <c r="D203" t="s">
        <v>245</v>
      </c>
      <c r="E203" s="203">
        <v>94</v>
      </c>
      <c r="F203" s="203" t="s">
        <v>250</v>
      </c>
      <c r="G203" s="203" t="s">
        <v>247</v>
      </c>
      <c r="H203" s="203" t="s">
        <v>249</v>
      </c>
      <c r="I203" s="202">
        <v>0</v>
      </c>
      <c r="J203" s="202">
        <v>0</v>
      </c>
      <c r="K203" s="202">
        <v>0</v>
      </c>
      <c r="AA203" s="299">
        <v>2019</v>
      </c>
      <c r="AB203" s="299">
        <v>1370</v>
      </c>
      <c r="AC203" s="300" t="s">
        <v>255</v>
      </c>
      <c r="AD203" s="299">
        <v>755</v>
      </c>
      <c r="AE203" s="299">
        <v>77</v>
      </c>
      <c r="AF203" s="294" t="s">
        <v>385</v>
      </c>
      <c r="AG203" s="294" t="s">
        <v>412</v>
      </c>
      <c r="AH203" s="294" t="s">
        <v>399</v>
      </c>
      <c r="AI203" s="301">
        <v>105000</v>
      </c>
    </row>
    <row r="204" spans="1:35">
      <c r="A204">
        <v>2015</v>
      </c>
      <c r="B204">
        <v>3680</v>
      </c>
      <c r="C204" t="s">
        <v>252</v>
      </c>
      <c r="D204" t="s">
        <v>245</v>
      </c>
      <c r="E204" s="203">
        <v>97</v>
      </c>
      <c r="F204" s="203" t="s">
        <v>251</v>
      </c>
      <c r="G204" s="203" t="s">
        <v>247</v>
      </c>
      <c r="H204" s="203" t="s">
        <v>248</v>
      </c>
      <c r="I204" s="202">
        <v>0</v>
      </c>
      <c r="J204" s="202">
        <v>0</v>
      </c>
      <c r="K204" s="202">
        <v>0</v>
      </c>
      <c r="AA204" s="299">
        <v>2019</v>
      </c>
      <c r="AB204" s="299">
        <v>1370</v>
      </c>
      <c r="AC204" s="300" t="s">
        <v>255</v>
      </c>
      <c r="AD204" s="299">
        <v>755</v>
      </c>
      <c r="AE204" s="299">
        <v>78</v>
      </c>
      <c r="AF204" s="294" t="s">
        <v>385</v>
      </c>
      <c r="AG204" s="294" t="s">
        <v>412</v>
      </c>
      <c r="AH204" s="294" t="s">
        <v>400</v>
      </c>
      <c r="AI204" s="301">
        <v>5649000</v>
      </c>
    </row>
    <row r="205" spans="1:35">
      <c r="A205">
        <v>2015</v>
      </c>
      <c r="B205">
        <v>3680</v>
      </c>
      <c r="C205" t="s">
        <v>252</v>
      </c>
      <c r="D205" t="s">
        <v>245</v>
      </c>
      <c r="E205" s="203">
        <v>98</v>
      </c>
      <c r="F205" s="203" t="s">
        <v>251</v>
      </c>
      <c r="G205" s="203" t="s">
        <v>247</v>
      </c>
      <c r="H205" s="204" t="s">
        <v>249</v>
      </c>
      <c r="I205" s="202">
        <v>0</v>
      </c>
      <c r="J205" s="202">
        <v>0</v>
      </c>
      <c r="K205" s="202">
        <v>0</v>
      </c>
      <c r="AA205" s="299">
        <v>2019</v>
      </c>
      <c r="AB205" s="299">
        <v>1370</v>
      </c>
      <c r="AC205" s="300" t="s">
        <v>255</v>
      </c>
      <c r="AD205" s="299">
        <v>755</v>
      </c>
      <c r="AE205" s="299">
        <v>79</v>
      </c>
      <c r="AF205" s="294" t="s">
        <v>385</v>
      </c>
      <c r="AG205" s="294" t="s">
        <v>412</v>
      </c>
      <c r="AH205" s="294" t="s">
        <v>408</v>
      </c>
      <c r="AI205" s="301">
        <v>45210000</v>
      </c>
    </row>
    <row r="206" spans="1:35">
      <c r="A206">
        <v>2015</v>
      </c>
      <c r="B206">
        <v>3410</v>
      </c>
      <c r="C206" t="s">
        <v>253</v>
      </c>
      <c r="D206" t="s">
        <v>245</v>
      </c>
      <c r="E206" s="203">
        <v>91</v>
      </c>
      <c r="F206" s="203" t="s">
        <v>246</v>
      </c>
      <c r="G206" s="203" t="s">
        <v>247</v>
      </c>
      <c r="H206" s="203" t="s">
        <v>248</v>
      </c>
      <c r="I206" s="202">
        <v>0</v>
      </c>
      <c r="J206" s="202">
        <v>0</v>
      </c>
      <c r="K206" s="202">
        <v>0</v>
      </c>
      <c r="AA206" s="299">
        <v>2019</v>
      </c>
      <c r="AB206" s="299">
        <v>1370</v>
      </c>
      <c r="AC206" s="300" t="s">
        <v>255</v>
      </c>
      <c r="AD206" s="299">
        <v>755</v>
      </c>
      <c r="AE206" s="299">
        <v>80</v>
      </c>
      <c r="AF206" s="294" t="s">
        <v>385</v>
      </c>
      <c r="AG206" s="294" t="s">
        <v>412</v>
      </c>
      <c r="AH206" s="294" t="s">
        <v>409</v>
      </c>
      <c r="AI206" s="301">
        <v>136146000</v>
      </c>
    </row>
    <row r="207" spans="1:35">
      <c r="A207">
        <v>2015</v>
      </c>
      <c r="B207">
        <v>3410</v>
      </c>
      <c r="C207" t="s">
        <v>253</v>
      </c>
      <c r="D207" t="s">
        <v>245</v>
      </c>
      <c r="E207" s="203">
        <v>92</v>
      </c>
      <c r="F207" s="203" t="s">
        <v>246</v>
      </c>
      <c r="G207" s="203" t="s">
        <v>247</v>
      </c>
      <c r="H207" s="204" t="s">
        <v>249</v>
      </c>
      <c r="I207" s="202">
        <v>0</v>
      </c>
      <c r="J207" s="202">
        <v>0</v>
      </c>
      <c r="K207" s="202">
        <v>0</v>
      </c>
      <c r="AA207" s="299">
        <v>2019</v>
      </c>
      <c r="AB207" s="299">
        <v>1370</v>
      </c>
      <c r="AC207" s="300" t="s">
        <v>255</v>
      </c>
      <c r="AD207" s="299">
        <v>755</v>
      </c>
      <c r="AE207" s="299">
        <v>81</v>
      </c>
      <c r="AF207" s="294" t="s">
        <v>385</v>
      </c>
      <c r="AG207" s="294" t="s">
        <v>413</v>
      </c>
      <c r="AH207" s="294" t="s">
        <v>402</v>
      </c>
      <c r="AI207" s="301">
        <v>46265000</v>
      </c>
    </row>
    <row r="208" spans="1:35">
      <c r="A208">
        <v>2015</v>
      </c>
      <c r="B208">
        <v>3410</v>
      </c>
      <c r="C208" t="s">
        <v>253</v>
      </c>
      <c r="D208" t="s">
        <v>245</v>
      </c>
      <c r="E208" s="203">
        <v>93</v>
      </c>
      <c r="F208" s="203" t="s">
        <v>250</v>
      </c>
      <c r="G208" s="203" t="s">
        <v>247</v>
      </c>
      <c r="H208" s="203" t="s">
        <v>248</v>
      </c>
      <c r="I208" s="202">
        <v>1180</v>
      </c>
      <c r="J208" s="202">
        <v>43353</v>
      </c>
      <c r="K208" s="202">
        <v>104360000</v>
      </c>
      <c r="AA208" s="299">
        <v>2019</v>
      </c>
      <c r="AB208" s="299">
        <v>1370</v>
      </c>
      <c r="AC208" s="300" t="s">
        <v>255</v>
      </c>
      <c r="AD208" s="299">
        <v>755</v>
      </c>
      <c r="AE208" s="299">
        <v>82</v>
      </c>
      <c r="AF208" s="294" t="s">
        <v>385</v>
      </c>
      <c r="AG208" s="294" t="s">
        <v>413</v>
      </c>
      <c r="AH208" s="294" t="s">
        <v>414</v>
      </c>
      <c r="AI208" s="301">
        <v>521166000</v>
      </c>
    </row>
    <row r="209" spans="1:35">
      <c r="A209">
        <v>2015</v>
      </c>
      <c r="B209">
        <v>3410</v>
      </c>
      <c r="C209" t="s">
        <v>253</v>
      </c>
      <c r="D209" t="s">
        <v>245</v>
      </c>
      <c r="E209" s="203">
        <v>94</v>
      </c>
      <c r="F209" s="203" t="s">
        <v>250</v>
      </c>
      <c r="G209" s="203" t="s">
        <v>247</v>
      </c>
      <c r="H209" s="204" t="s">
        <v>249</v>
      </c>
      <c r="I209" s="202">
        <v>0</v>
      </c>
      <c r="J209" s="202">
        <v>0</v>
      </c>
      <c r="K209" s="202">
        <v>0</v>
      </c>
      <c r="AA209" s="299">
        <v>2019</v>
      </c>
      <c r="AB209" s="299">
        <v>1370</v>
      </c>
      <c r="AC209" s="300" t="s">
        <v>255</v>
      </c>
      <c r="AD209" s="299">
        <v>755</v>
      </c>
      <c r="AE209" s="299">
        <v>83</v>
      </c>
      <c r="AF209" s="294" t="s">
        <v>377</v>
      </c>
      <c r="AG209" s="294" t="s">
        <v>378</v>
      </c>
      <c r="AH209" s="294" t="s">
        <v>415</v>
      </c>
      <c r="AI209" s="301">
        <v>5947000</v>
      </c>
    </row>
    <row r="210" spans="1:35">
      <c r="A210">
        <v>2015</v>
      </c>
      <c r="B210">
        <v>3410</v>
      </c>
      <c r="C210" t="s">
        <v>253</v>
      </c>
      <c r="D210" t="s">
        <v>245</v>
      </c>
      <c r="E210" s="203">
        <v>97</v>
      </c>
      <c r="F210" s="203" t="s">
        <v>251</v>
      </c>
      <c r="G210" s="203" t="s">
        <v>247</v>
      </c>
      <c r="H210" s="203" t="s">
        <v>248</v>
      </c>
      <c r="I210" s="202">
        <v>0</v>
      </c>
      <c r="J210" s="202">
        <v>0</v>
      </c>
      <c r="K210" s="202">
        <v>0</v>
      </c>
      <c r="AA210" s="299">
        <v>2019</v>
      </c>
      <c r="AB210" s="299">
        <v>1370</v>
      </c>
      <c r="AC210" s="300" t="s">
        <v>255</v>
      </c>
      <c r="AD210" s="299">
        <v>755</v>
      </c>
      <c r="AE210" s="299">
        <v>84</v>
      </c>
      <c r="AF210" s="294" t="s">
        <v>377</v>
      </c>
      <c r="AG210" s="294" t="s">
        <v>378</v>
      </c>
      <c r="AH210" s="294" t="s">
        <v>416</v>
      </c>
      <c r="AI210" s="301">
        <v>0</v>
      </c>
    </row>
    <row r="211" spans="1:35">
      <c r="A211">
        <v>2015</v>
      </c>
      <c r="B211">
        <v>3410</v>
      </c>
      <c r="C211" t="s">
        <v>253</v>
      </c>
      <c r="D211" t="s">
        <v>245</v>
      </c>
      <c r="E211" s="203">
        <v>98</v>
      </c>
      <c r="F211" s="203" t="s">
        <v>251</v>
      </c>
      <c r="G211" s="203" t="s">
        <v>247</v>
      </c>
      <c r="H211" s="204" t="s">
        <v>249</v>
      </c>
      <c r="I211" s="202">
        <v>0</v>
      </c>
      <c r="J211" s="202">
        <v>0</v>
      </c>
      <c r="K211" s="202">
        <v>0</v>
      </c>
      <c r="AA211" s="299">
        <v>2019</v>
      </c>
      <c r="AB211" s="299">
        <v>1370</v>
      </c>
      <c r="AC211" s="300" t="s">
        <v>255</v>
      </c>
      <c r="AD211" s="299">
        <v>755</v>
      </c>
      <c r="AE211" s="299">
        <v>85</v>
      </c>
      <c r="AF211" s="294" t="s">
        <v>339</v>
      </c>
      <c r="AG211" s="294" t="s">
        <v>340</v>
      </c>
      <c r="AH211" s="294" t="s">
        <v>322</v>
      </c>
      <c r="AI211" s="301">
        <v>282666000</v>
      </c>
    </row>
    <row r="212" spans="1:35">
      <c r="A212">
        <v>2015</v>
      </c>
      <c r="B212">
        <v>3050</v>
      </c>
      <c r="C212" t="s">
        <v>254</v>
      </c>
      <c r="D212" t="s">
        <v>245</v>
      </c>
      <c r="E212" s="203">
        <v>91</v>
      </c>
      <c r="F212" s="203" t="s">
        <v>246</v>
      </c>
      <c r="G212" s="203" t="s">
        <v>247</v>
      </c>
      <c r="H212" s="203" t="s">
        <v>248</v>
      </c>
      <c r="I212" s="202">
        <v>326</v>
      </c>
      <c r="J212" s="202">
        <v>69645</v>
      </c>
      <c r="K212" s="202">
        <v>760841000</v>
      </c>
      <c r="AA212" s="299">
        <v>2019</v>
      </c>
      <c r="AB212" s="299">
        <v>1370</v>
      </c>
      <c r="AC212" s="300" t="s">
        <v>255</v>
      </c>
      <c r="AD212" s="299">
        <v>755</v>
      </c>
      <c r="AE212" s="299">
        <v>86</v>
      </c>
      <c r="AF212" s="294" t="s">
        <v>339</v>
      </c>
      <c r="AG212" s="294" t="s">
        <v>340</v>
      </c>
      <c r="AH212" s="294" t="s">
        <v>323</v>
      </c>
      <c r="AI212" s="301">
        <v>140295000</v>
      </c>
    </row>
    <row r="213" spans="1:35">
      <c r="A213">
        <v>2015</v>
      </c>
      <c r="B213">
        <v>3050</v>
      </c>
      <c r="C213" t="s">
        <v>254</v>
      </c>
      <c r="D213" t="s">
        <v>245</v>
      </c>
      <c r="E213" s="203">
        <v>92</v>
      </c>
      <c r="F213" s="203" t="s">
        <v>246</v>
      </c>
      <c r="G213" s="203" t="s">
        <v>247</v>
      </c>
      <c r="H213" s="204" t="s">
        <v>249</v>
      </c>
      <c r="I213" s="202">
        <v>0</v>
      </c>
      <c r="J213" s="202">
        <v>0</v>
      </c>
      <c r="K213" s="202">
        <v>0</v>
      </c>
      <c r="AA213" s="299">
        <v>2019</v>
      </c>
      <c r="AB213" s="299">
        <v>1370</v>
      </c>
      <c r="AC213" s="300" t="s">
        <v>255</v>
      </c>
      <c r="AD213" s="299">
        <v>755</v>
      </c>
      <c r="AE213" s="299">
        <v>87</v>
      </c>
      <c r="AF213" s="294" t="s">
        <v>339</v>
      </c>
      <c r="AG213" s="294" t="s">
        <v>341</v>
      </c>
      <c r="AH213" s="294" t="s">
        <v>325</v>
      </c>
      <c r="AI213" s="301">
        <v>1093966000</v>
      </c>
    </row>
    <row r="214" spans="1:35">
      <c r="A214">
        <v>2015</v>
      </c>
      <c r="B214">
        <v>3050</v>
      </c>
      <c r="C214" t="s">
        <v>254</v>
      </c>
      <c r="D214" t="s">
        <v>245</v>
      </c>
      <c r="E214" s="203">
        <v>93</v>
      </c>
      <c r="F214" s="203" t="s">
        <v>250</v>
      </c>
      <c r="G214" s="203" t="s">
        <v>247</v>
      </c>
      <c r="H214" s="203" t="s">
        <v>248</v>
      </c>
      <c r="I214" s="202">
        <v>921</v>
      </c>
      <c r="J214" s="202">
        <v>28534</v>
      </c>
      <c r="K214" s="202">
        <v>85965000</v>
      </c>
      <c r="AA214" s="299">
        <v>2019</v>
      </c>
      <c r="AB214" s="299">
        <v>1370</v>
      </c>
      <c r="AC214" s="300" t="s">
        <v>255</v>
      </c>
      <c r="AD214" s="299">
        <v>755</v>
      </c>
      <c r="AE214" s="299">
        <v>88</v>
      </c>
      <c r="AF214" s="294" t="s">
        <v>339</v>
      </c>
      <c r="AG214" s="294" t="s">
        <v>341</v>
      </c>
      <c r="AH214" s="294" t="s">
        <v>342</v>
      </c>
      <c r="AI214" s="301">
        <v>1516927000</v>
      </c>
    </row>
    <row r="215" spans="1:35">
      <c r="A215">
        <v>2015</v>
      </c>
      <c r="B215">
        <v>3050</v>
      </c>
      <c r="C215" t="s">
        <v>254</v>
      </c>
      <c r="D215" t="s">
        <v>245</v>
      </c>
      <c r="E215" s="203">
        <v>94</v>
      </c>
      <c r="F215" s="203" t="s">
        <v>250</v>
      </c>
      <c r="G215" s="203" t="s">
        <v>247</v>
      </c>
      <c r="H215" s="204" t="s">
        <v>249</v>
      </c>
      <c r="I215" s="202">
        <v>0</v>
      </c>
      <c r="J215" s="202">
        <v>0</v>
      </c>
      <c r="K215" s="202">
        <v>0</v>
      </c>
      <c r="AA215" s="299">
        <v>2019</v>
      </c>
      <c r="AB215" s="299">
        <v>1370</v>
      </c>
      <c r="AC215" s="300" t="s">
        <v>255</v>
      </c>
      <c r="AD215" s="299">
        <v>755</v>
      </c>
      <c r="AE215" s="299">
        <v>89</v>
      </c>
      <c r="AF215" s="294" t="s">
        <v>377</v>
      </c>
      <c r="AG215" s="294" t="s">
        <v>378</v>
      </c>
      <c r="AH215" s="294" t="s">
        <v>379</v>
      </c>
      <c r="AI215" s="301">
        <v>9000</v>
      </c>
    </row>
    <row r="216" spans="1:35" ht="16" customHeight="1">
      <c r="A216">
        <v>2015</v>
      </c>
      <c r="B216">
        <v>3050</v>
      </c>
      <c r="C216" t="s">
        <v>254</v>
      </c>
      <c r="D216" t="s">
        <v>245</v>
      </c>
      <c r="E216" s="203">
        <v>97</v>
      </c>
      <c r="F216" s="203" t="s">
        <v>251</v>
      </c>
      <c r="G216" s="203" t="s">
        <v>247</v>
      </c>
      <c r="H216" s="203" t="s">
        <v>248</v>
      </c>
      <c r="I216" s="202">
        <v>0</v>
      </c>
      <c r="J216" s="202">
        <v>0</v>
      </c>
      <c r="K216" s="202">
        <v>0</v>
      </c>
      <c r="AA216" s="299">
        <v>2019</v>
      </c>
      <c r="AB216" s="299">
        <v>1370</v>
      </c>
      <c r="AC216" s="300" t="s">
        <v>255</v>
      </c>
      <c r="AD216" s="299">
        <v>755</v>
      </c>
      <c r="AE216" s="299">
        <v>98</v>
      </c>
      <c r="AF216" s="294" t="s">
        <v>343</v>
      </c>
      <c r="AG216" s="294" t="s">
        <v>380</v>
      </c>
      <c r="AH216" s="294" t="s">
        <v>381</v>
      </c>
      <c r="AI216" s="301">
        <v>7763728000</v>
      </c>
    </row>
    <row r="217" spans="1:35" ht="16" customHeight="1">
      <c r="A217">
        <v>2015</v>
      </c>
      <c r="B217">
        <v>3050</v>
      </c>
      <c r="C217" t="s">
        <v>254</v>
      </c>
      <c r="D217" t="s">
        <v>245</v>
      </c>
      <c r="E217" s="203">
        <v>98</v>
      </c>
      <c r="F217" s="203" t="s">
        <v>251</v>
      </c>
      <c r="G217" s="203" t="s">
        <v>247</v>
      </c>
      <c r="H217" s="204" t="s">
        <v>249</v>
      </c>
      <c r="I217" s="202">
        <v>0</v>
      </c>
      <c r="J217" s="202">
        <v>0</v>
      </c>
      <c r="K217" s="202">
        <v>0</v>
      </c>
      <c r="AA217" s="299">
        <v>2019</v>
      </c>
      <c r="AB217" s="299">
        <v>1370</v>
      </c>
      <c r="AC217" s="300" t="s">
        <v>255</v>
      </c>
      <c r="AD217" s="299">
        <v>755</v>
      </c>
      <c r="AE217" s="299">
        <v>99</v>
      </c>
      <c r="AF217" s="294" t="s">
        <v>343</v>
      </c>
      <c r="AG217" s="294" t="s">
        <v>344</v>
      </c>
      <c r="AH217" s="294" t="s">
        <v>322</v>
      </c>
      <c r="AI217" s="301">
        <v>23346365000</v>
      </c>
    </row>
    <row r="218" spans="1:35" ht="16" customHeight="1">
      <c r="A218">
        <v>2015</v>
      </c>
      <c r="B218">
        <v>1370</v>
      </c>
      <c r="C218" t="s">
        <v>255</v>
      </c>
      <c r="D218" t="s">
        <v>245</v>
      </c>
      <c r="E218" s="203">
        <v>91</v>
      </c>
      <c r="F218" s="203" t="s">
        <v>246</v>
      </c>
      <c r="G218" s="203" t="s">
        <v>247</v>
      </c>
      <c r="H218" s="203" t="s">
        <v>248</v>
      </c>
      <c r="I218" s="202">
        <v>65</v>
      </c>
      <c r="J218" s="202">
        <v>13744</v>
      </c>
      <c r="K218" s="202">
        <v>179141000</v>
      </c>
      <c r="AA218" s="299">
        <v>2019</v>
      </c>
      <c r="AB218" s="299">
        <v>1370</v>
      </c>
      <c r="AC218" s="300" t="s">
        <v>255</v>
      </c>
      <c r="AD218" s="299">
        <v>755</v>
      </c>
      <c r="AE218" s="299">
        <v>100</v>
      </c>
      <c r="AF218" s="294" t="s">
        <v>343</v>
      </c>
      <c r="AG218" s="294" t="s">
        <v>344</v>
      </c>
      <c r="AH218" s="294" t="s">
        <v>323</v>
      </c>
      <c r="AI218" s="301">
        <v>11491296000</v>
      </c>
    </row>
    <row r="219" spans="1:35" ht="16" customHeight="1">
      <c r="A219">
        <v>2015</v>
      </c>
      <c r="B219">
        <v>1370</v>
      </c>
      <c r="C219" t="s">
        <v>255</v>
      </c>
      <c r="D219" t="s">
        <v>245</v>
      </c>
      <c r="E219" s="203">
        <v>92</v>
      </c>
      <c r="F219" s="203" t="s">
        <v>246</v>
      </c>
      <c r="G219" s="203" t="s">
        <v>247</v>
      </c>
      <c r="H219" s="204" t="s">
        <v>249</v>
      </c>
      <c r="I219" s="202">
        <v>0</v>
      </c>
      <c r="J219" s="202">
        <v>0</v>
      </c>
      <c r="K219" s="202">
        <v>0</v>
      </c>
      <c r="AA219" s="299">
        <v>2019</v>
      </c>
      <c r="AB219" s="299">
        <v>1370</v>
      </c>
      <c r="AC219" s="300" t="s">
        <v>255</v>
      </c>
      <c r="AD219" s="299">
        <v>755</v>
      </c>
      <c r="AE219" s="299">
        <v>101</v>
      </c>
      <c r="AF219" s="294" t="s">
        <v>343</v>
      </c>
      <c r="AG219" s="294" t="s">
        <v>344</v>
      </c>
      <c r="AH219" s="294" t="s">
        <v>325</v>
      </c>
      <c r="AI219" s="301">
        <v>91333830000</v>
      </c>
    </row>
    <row r="220" spans="1:35" ht="16" customHeight="1">
      <c r="A220">
        <v>2015</v>
      </c>
      <c r="B220">
        <v>1370</v>
      </c>
      <c r="C220" t="s">
        <v>255</v>
      </c>
      <c r="D220" t="s">
        <v>245</v>
      </c>
      <c r="E220" s="203">
        <v>93</v>
      </c>
      <c r="F220" s="203" t="s">
        <v>250</v>
      </c>
      <c r="G220" s="203" t="s">
        <v>247</v>
      </c>
      <c r="H220" s="203" t="s">
        <v>248</v>
      </c>
      <c r="I220" s="202">
        <v>0</v>
      </c>
      <c r="J220" s="202">
        <v>0</v>
      </c>
      <c r="K220" s="202">
        <v>0</v>
      </c>
      <c r="AA220" s="299">
        <v>2019</v>
      </c>
      <c r="AB220" s="299">
        <v>1370</v>
      </c>
      <c r="AC220" s="300" t="s">
        <v>255</v>
      </c>
      <c r="AD220" s="299">
        <v>755</v>
      </c>
      <c r="AE220" s="299">
        <v>102</v>
      </c>
      <c r="AF220" s="294" t="s">
        <v>343</v>
      </c>
      <c r="AG220" s="294" t="s">
        <v>345</v>
      </c>
      <c r="AH220" s="294" t="s">
        <v>346</v>
      </c>
      <c r="AI220" s="301">
        <v>0</v>
      </c>
    </row>
    <row r="221" spans="1:35" ht="16" customHeight="1">
      <c r="A221">
        <v>2015</v>
      </c>
      <c r="B221">
        <v>1370</v>
      </c>
      <c r="C221" t="s">
        <v>255</v>
      </c>
      <c r="D221" t="s">
        <v>245</v>
      </c>
      <c r="E221" s="203">
        <v>94</v>
      </c>
      <c r="F221" s="203" t="s">
        <v>250</v>
      </c>
      <c r="G221" s="203" t="s">
        <v>247</v>
      </c>
      <c r="H221" s="204" t="s">
        <v>249</v>
      </c>
      <c r="I221" s="202">
        <v>0</v>
      </c>
      <c r="J221" s="202">
        <v>0</v>
      </c>
      <c r="K221" s="202">
        <v>0</v>
      </c>
      <c r="AA221" s="299">
        <v>2019</v>
      </c>
      <c r="AB221" s="299">
        <v>1370</v>
      </c>
      <c r="AC221" s="300" t="s">
        <v>255</v>
      </c>
      <c r="AD221" s="299">
        <v>755</v>
      </c>
      <c r="AE221" s="299">
        <v>103</v>
      </c>
      <c r="AF221" s="294" t="s">
        <v>343</v>
      </c>
      <c r="AG221" s="294" t="s">
        <v>347</v>
      </c>
      <c r="AH221" s="294" t="s">
        <v>348</v>
      </c>
      <c r="AI221" s="301">
        <v>1209914000</v>
      </c>
    </row>
    <row r="222" spans="1:35" ht="16" customHeight="1">
      <c r="A222">
        <v>2015</v>
      </c>
      <c r="B222">
        <v>1370</v>
      </c>
      <c r="C222" t="s">
        <v>255</v>
      </c>
      <c r="D222" t="s">
        <v>245</v>
      </c>
      <c r="E222" s="203">
        <v>95</v>
      </c>
      <c r="F222" s="203" t="s">
        <v>251</v>
      </c>
      <c r="G222" s="203" t="s">
        <v>247</v>
      </c>
      <c r="H222" s="203" t="s">
        <v>248</v>
      </c>
      <c r="I222" s="202">
        <v>0</v>
      </c>
      <c r="J222" s="202">
        <v>0</v>
      </c>
      <c r="K222" s="202">
        <v>0</v>
      </c>
      <c r="AA222" s="299">
        <v>2019</v>
      </c>
      <c r="AB222" s="299">
        <v>1370</v>
      </c>
      <c r="AC222" s="300" t="s">
        <v>255</v>
      </c>
      <c r="AD222" s="299">
        <v>755</v>
      </c>
      <c r="AE222" s="299">
        <v>104</v>
      </c>
      <c r="AF222" s="294" t="s">
        <v>343</v>
      </c>
      <c r="AG222" s="294" t="s">
        <v>349</v>
      </c>
      <c r="AH222" s="294" t="s">
        <v>350</v>
      </c>
      <c r="AI222" s="301">
        <v>135145133000</v>
      </c>
    </row>
    <row r="223" spans="1:35" ht="16" customHeight="1">
      <c r="A223">
        <v>2015</v>
      </c>
      <c r="B223">
        <v>1370</v>
      </c>
      <c r="C223" t="s">
        <v>255</v>
      </c>
      <c r="D223" t="s">
        <v>245</v>
      </c>
      <c r="E223" s="203">
        <v>96</v>
      </c>
      <c r="F223" s="203" t="s">
        <v>251</v>
      </c>
      <c r="G223" s="203" t="s">
        <v>247</v>
      </c>
      <c r="H223" s="204" t="s">
        <v>249</v>
      </c>
      <c r="I223" s="202">
        <v>0</v>
      </c>
      <c r="J223" s="202">
        <v>0</v>
      </c>
      <c r="K223" s="202">
        <v>0</v>
      </c>
      <c r="AA223" s="299">
        <v>2019</v>
      </c>
      <c r="AB223" s="299">
        <v>1370</v>
      </c>
      <c r="AC223" s="300" t="s">
        <v>255</v>
      </c>
      <c r="AD223" s="299">
        <v>755</v>
      </c>
      <c r="AE223" s="299">
        <v>105</v>
      </c>
      <c r="AF223" s="294" t="s">
        <v>351</v>
      </c>
      <c r="AG223" s="294" t="s">
        <v>352</v>
      </c>
      <c r="AH223" s="294" t="s">
        <v>353</v>
      </c>
      <c r="AI223" s="301">
        <v>185191000</v>
      </c>
    </row>
    <row r="224" spans="1:35" ht="16" customHeight="1">
      <c r="A224">
        <v>2015</v>
      </c>
      <c r="B224">
        <v>2670</v>
      </c>
      <c r="C224" t="s">
        <v>257</v>
      </c>
      <c r="D224" t="s">
        <v>245</v>
      </c>
      <c r="E224" s="203">
        <v>91</v>
      </c>
      <c r="F224" s="203" t="s">
        <v>246</v>
      </c>
      <c r="G224" s="203" t="s">
        <v>247</v>
      </c>
      <c r="H224" s="203" t="s">
        <v>248</v>
      </c>
      <c r="I224" s="202">
        <v>200</v>
      </c>
      <c r="J224" s="202">
        <v>43200</v>
      </c>
      <c r="K224" s="202">
        <v>518803000</v>
      </c>
      <c r="AA224" s="299">
        <v>2019</v>
      </c>
      <c r="AB224" s="299">
        <v>1370</v>
      </c>
      <c r="AC224" s="300" t="s">
        <v>255</v>
      </c>
      <c r="AD224" s="299">
        <v>755</v>
      </c>
      <c r="AE224" s="299">
        <v>106</v>
      </c>
      <c r="AF224" s="294" t="s">
        <v>351</v>
      </c>
      <c r="AG224" s="294" t="s">
        <v>354</v>
      </c>
      <c r="AH224" s="294" t="s">
        <v>355</v>
      </c>
      <c r="AI224" s="301">
        <v>3751000</v>
      </c>
    </row>
    <row r="225" spans="1:35" ht="16" customHeight="1">
      <c r="A225">
        <v>2015</v>
      </c>
      <c r="B225">
        <v>2670</v>
      </c>
      <c r="C225" t="s">
        <v>257</v>
      </c>
      <c r="D225" t="s">
        <v>245</v>
      </c>
      <c r="E225" s="203">
        <v>92</v>
      </c>
      <c r="F225" s="203" t="s">
        <v>246</v>
      </c>
      <c r="G225" s="203" t="s">
        <v>247</v>
      </c>
      <c r="H225" s="204" t="s">
        <v>249</v>
      </c>
      <c r="I225" s="202">
        <v>0</v>
      </c>
      <c r="J225" s="202">
        <v>0</v>
      </c>
      <c r="K225" s="202">
        <v>0</v>
      </c>
      <c r="AA225" s="299">
        <v>2019</v>
      </c>
      <c r="AB225" s="299">
        <v>1370</v>
      </c>
      <c r="AC225" s="300" t="s">
        <v>255</v>
      </c>
      <c r="AD225" s="299">
        <v>755</v>
      </c>
      <c r="AE225" s="299">
        <v>107</v>
      </c>
      <c r="AF225" s="294" t="s">
        <v>351</v>
      </c>
      <c r="AG225" s="294" t="s">
        <v>356</v>
      </c>
      <c r="AH225" s="294" t="s">
        <v>357</v>
      </c>
      <c r="AI225" s="301">
        <v>188942000</v>
      </c>
    </row>
    <row r="226" spans="1:35" ht="16" customHeight="1">
      <c r="A226">
        <v>2015</v>
      </c>
      <c r="B226">
        <v>2670</v>
      </c>
      <c r="C226" t="s">
        <v>257</v>
      </c>
      <c r="D226" t="s">
        <v>245</v>
      </c>
      <c r="E226" s="203">
        <v>93</v>
      </c>
      <c r="F226" s="203" t="s">
        <v>250</v>
      </c>
      <c r="G226" s="203" t="s">
        <v>247</v>
      </c>
      <c r="H226" s="203" t="s">
        <v>248</v>
      </c>
      <c r="I226" s="202">
        <v>0</v>
      </c>
      <c r="J226" s="202">
        <v>0</v>
      </c>
      <c r="K226" s="202">
        <v>0</v>
      </c>
      <c r="AA226" s="299">
        <v>2019</v>
      </c>
      <c r="AB226" s="299">
        <v>1370</v>
      </c>
      <c r="AC226" s="300" t="s">
        <v>255</v>
      </c>
      <c r="AD226" s="299">
        <v>755</v>
      </c>
      <c r="AE226" s="299">
        <v>108</v>
      </c>
      <c r="AF226" s="294" t="s">
        <v>358</v>
      </c>
      <c r="AG226" s="294" t="s">
        <v>359</v>
      </c>
      <c r="AH226" s="294" t="s">
        <v>360</v>
      </c>
      <c r="AI226" s="301">
        <v>62606895000</v>
      </c>
    </row>
    <row r="227" spans="1:35" ht="16" customHeight="1">
      <c r="A227">
        <v>2015</v>
      </c>
      <c r="B227">
        <v>2670</v>
      </c>
      <c r="C227" t="s">
        <v>257</v>
      </c>
      <c r="D227" t="s">
        <v>245</v>
      </c>
      <c r="E227" s="203">
        <v>94</v>
      </c>
      <c r="F227" s="203" t="s">
        <v>250</v>
      </c>
      <c r="G227" s="203" t="s">
        <v>247</v>
      </c>
      <c r="H227" s="204" t="s">
        <v>249</v>
      </c>
      <c r="I227" s="202">
        <v>0</v>
      </c>
      <c r="J227" s="202">
        <v>0</v>
      </c>
      <c r="K227" s="202">
        <v>0</v>
      </c>
      <c r="AA227" s="299">
        <v>2019</v>
      </c>
      <c r="AB227" s="299">
        <v>1370</v>
      </c>
      <c r="AC227" s="300" t="s">
        <v>255</v>
      </c>
      <c r="AD227" s="299">
        <v>755</v>
      </c>
      <c r="AE227" s="299">
        <v>109</v>
      </c>
      <c r="AF227" s="294" t="s">
        <v>358</v>
      </c>
      <c r="AG227" s="294" t="s">
        <v>359</v>
      </c>
      <c r="AH227" s="294" t="s">
        <v>361</v>
      </c>
      <c r="AI227" s="301">
        <v>0</v>
      </c>
    </row>
    <row r="228" spans="1:35" ht="16" customHeight="1">
      <c r="A228">
        <v>2015</v>
      </c>
      <c r="B228">
        <v>2670</v>
      </c>
      <c r="C228" t="s">
        <v>257</v>
      </c>
      <c r="D228" t="s">
        <v>245</v>
      </c>
      <c r="E228" s="203">
        <v>97</v>
      </c>
      <c r="F228" s="203" t="s">
        <v>251</v>
      </c>
      <c r="G228" s="203" t="s">
        <v>247</v>
      </c>
      <c r="H228" s="203" t="s">
        <v>248</v>
      </c>
      <c r="I228" s="202">
        <v>0</v>
      </c>
      <c r="J228" s="202">
        <v>0</v>
      </c>
      <c r="K228" s="202">
        <v>0</v>
      </c>
      <c r="AA228" s="299">
        <v>2019</v>
      </c>
      <c r="AB228" s="299">
        <v>1370</v>
      </c>
      <c r="AC228" s="300" t="s">
        <v>255</v>
      </c>
      <c r="AD228" s="299">
        <v>755</v>
      </c>
      <c r="AE228" s="299">
        <v>110</v>
      </c>
      <c r="AF228" s="294" t="s">
        <v>358</v>
      </c>
      <c r="AG228" s="294" t="s">
        <v>359</v>
      </c>
      <c r="AH228" s="294" t="s">
        <v>362</v>
      </c>
      <c r="AI228" s="301">
        <v>62606895000</v>
      </c>
    </row>
    <row r="229" spans="1:35" ht="16" customHeight="1">
      <c r="A229">
        <v>2015</v>
      </c>
      <c r="B229">
        <v>2670</v>
      </c>
      <c r="C229" t="s">
        <v>257</v>
      </c>
      <c r="D229" t="s">
        <v>245</v>
      </c>
      <c r="E229" s="203">
        <v>98</v>
      </c>
      <c r="F229" s="203" t="s">
        <v>251</v>
      </c>
      <c r="G229" s="203" t="s">
        <v>247</v>
      </c>
      <c r="H229" s="204" t="s">
        <v>249</v>
      </c>
      <c r="I229" s="202">
        <v>0</v>
      </c>
      <c r="J229" s="202">
        <v>0</v>
      </c>
      <c r="K229" s="202">
        <v>0</v>
      </c>
      <c r="AA229" s="299">
        <v>2019</v>
      </c>
      <c r="AB229" s="299">
        <v>1370</v>
      </c>
      <c r="AC229" s="300" t="s">
        <v>255</v>
      </c>
      <c r="AD229" s="299">
        <v>755</v>
      </c>
      <c r="AE229" s="299">
        <v>111</v>
      </c>
      <c r="AF229" s="294" t="s">
        <v>358</v>
      </c>
      <c r="AG229" s="294" t="s">
        <v>363</v>
      </c>
      <c r="AH229" s="294" t="s">
        <v>364</v>
      </c>
      <c r="AI229" s="301">
        <v>664440000</v>
      </c>
    </row>
    <row r="230" spans="1:35" ht="16" customHeight="1">
      <c r="A230">
        <v>2015</v>
      </c>
      <c r="B230">
        <v>1550</v>
      </c>
      <c r="C230" t="s">
        <v>258</v>
      </c>
      <c r="D230" t="s">
        <v>245</v>
      </c>
      <c r="E230" s="203">
        <v>91</v>
      </c>
      <c r="F230" s="203" t="s">
        <v>246</v>
      </c>
      <c r="G230" s="203" t="s">
        <v>247</v>
      </c>
      <c r="H230" s="203" t="s">
        <v>248</v>
      </c>
      <c r="I230" s="202">
        <v>18</v>
      </c>
      <c r="J230" s="202">
        <v>3272</v>
      </c>
      <c r="K230" s="202">
        <v>24665000</v>
      </c>
      <c r="AA230" s="299">
        <v>2019</v>
      </c>
      <c r="AB230" s="299">
        <v>1370</v>
      </c>
      <c r="AC230" s="300" t="s">
        <v>255</v>
      </c>
      <c r="AD230" s="299">
        <v>755</v>
      </c>
      <c r="AE230" s="299">
        <v>112</v>
      </c>
      <c r="AF230" s="294" t="s">
        <v>358</v>
      </c>
      <c r="AG230" s="294" t="s">
        <v>363</v>
      </c>
      <c r="AH230" s="294" t="s">
        <v>365</v>
      </c>
      <c r="AI230" s="301">
        <v>0</v>
      </c>
    </row>
    <row r="231" spans="1:35" ht="16" customHeight="1">
      <c r="A231">
        <v>2015</v>
      </c>
      <c r="B231">
        <v>1550</v>
      </c>
      <c r="C231" t="s">
        <v>258</v>
      </c>
      <c r="D231" t="s">
        <v>245</v>
      </c>
      <c r="E231" s="203">
        <v>92</v>
      </c>
      <c r="F231" s="203" t="s">
        <v>246</v>
      </c>
      <c r="G231" s="203" t="s">
        <v>247</v>
      </c>
      <c r="H231" s="204" t="s">
        <v>249</v>
      </c>
      <c r="I231" s="202">
        <v>52</v>
      </c>
      <c r="J231" s="202">
        <v>9148</v>
      </c>
      <c r="K231" s="202">
        <v>57015000</v>
      </c>
      <c r="AA231" s="299">
        <v>2019</v>
      </c>
      <c r="AB231" s="299">
        <v>1370</v>
      </c>
      <c r="AC231" s="300" t="s">
        <v>255</v>
      </c>
      <c r="AD231" s="299">
        <v>755</v>
      </c>
      <c r="AE231" s="299">
        <v>113</v>
      </c>
      <c r="AF231" s="294" t="s">
        <v>358</v>
      </c>
      <c r="AG231" s="294" t="s">
        <v>363</v>
      </c>
      <c r="AH231" s="294" t="s">
        <v>366</v>
      </c>
      <c r="AI231" s="301">
        <v>664440000</v>
      </c>
    </row>
    <row r="232" spans="1:35" ht="16" customHeight="1">
      <c r="A232">
        <v>2015</v>
      </c>
      <c r="B232">
        <v>1550</v>
      </c>
      <c r="C232" t="s">
        <v>258</v>
      </c>
      <c r="D232" t="s">
        <v>245</v>
      </c>
      <c r="E232" s="203">
        <v>93</v>
      </c>
      <c r="F232" s="203" t="s">
        <v>250</v>
      </c>
      <c r="G232" s="203" t="s">
        <v>247</v>
      </c>
      <c r="H232" s="203" t="s">
        <v>248</v>
      </c>
      <c r="I232" s="202">
        <v>2033</v>
      </c>
      <c r="J232" s="202">
        <v>63049</v>
      </c>
      <c r="K232" s="202">
        <v>206187000</v>
      </c>
      <c r="AA232" s="299">
        <v>2019</v>
      </c>
      <c r="AB232" s="299">
        <v>1370</v>
      </c>
      <c r="AC232" s="300" t="s">
        <v>255</v>
      </c>
      <c r="AD232" s="299">
        <v>755</v>
      </c>
      <c r="AE232" s="299">
        <v>114</v>
      </c>
      <c r="AF232" s="294" t="s">
        <v>358</v>
      </c>
      <c r="AG232" s="294" t="s">
        <v>367</v>
      </c>
      <c r="AH232" s="294" t="s">
        <v>368</v>
      </c>
      <c r="AI232" s="301">
        <v>63271335000</v>
      </c>
    </row>
    <row r="233" spans="1:35" ht="16" customHeight="1">
      <c r="A233">
        <v>2015</v>
      </c>
      <c r="B233">
        <v>1550</v>
      </c>
      <c r="C233" t="s">
        <v>258</v>
      </c>
      <c r="D233" t="s">
        <v>245</v>
      </c>
      <c r="E233" s="203">
        <v>94</v>
      </c>
      <c r="F233" s="203" t="s">
        <v>250</v>
      </c>
      <c r="G233" s="203" t="s">
        <v>247</v>
      </c>
      <c r="H233" s="203" t="s">
        <v>249</v>
      </c>
      <c r="I233" s="202">
        <v>0</v>
      </c>
      <c r="J233" s="202">
        <v>0</v>
      </c>
      <c r="K233" s="202">
        <v>0</v>
      </c>
      <c r="AA233" s="299">
        <v>2019</v>
      </c>
      <c r="AB233" s="299">
        <v>1370</v>
      </c>
      <c r="AC233" s="300" t="s">
        <v>255</v>
      </c>
      <c r="AD233" s="299">
        <v>755</v>
      </c>
      <c r="AE233" s="299">
        <v>115</v>
      </c>
      <c r="AF233" s="294" t="s">
        <v>369</v>
      </c>
      <c r="AG233" s="294" t="s">
        <v>370</v>
      </c>
      <c r="AH233" s="294" t="s">
        <v>371</v>
      </c>
      <c r="AI233" s="301">
        <v>833288</v>
      </c>
    </row>
    <row r="234" spans="1:35" ht="16" customHeight="1">
      <c r="A234">
        <v>2015</v>
      </c>
      <c r="B234">
        <v>1550</v>
      </c>
      <c r="C234" t="s">
        <v>258</v>
      </c>
      <c r="D234" t="s">
        <v>245</v>
      </c>
      <c r="E234">
        <v>97</v>
      </c>
      <c r="F234" t="s">
        <v>251</v>
      </c>
      <c r="G234" t="s">
        <v>247</v>
      </c>
      <c r="H234" t="s">
        <v>248</v>
      </c>
      <c r="I234" s="202">
        <v>7271</v>
      </c>
      <c r="J234" s="202">
        <v>30928</v>
      </c>
      <c r="K234" s="202">
        <v>85247000</v>
      </c>
      <c r="AA234" s="299">
        <v>2019</v>
      </c>
      <c r="AB234" s="299">
        <v>1370</v>
      </c>
      <c r="AC234" s="300" t="s">
        <v>255</v>
      </c>
      <c r="AD234" s="299">
        <v>755</v>
      </c>
      <c r="AE234" s="299">
        <v>116</v>
      </c>
      <c r="AF234" s="294" t="s">
        <v>369</v>
      </c>
      <c r="AG234" s="294" t="s">
        <v>372</v>
      </c>
      <c r="AH234" s="294" t="s">
        <v>373</v>
      </c>
      <c r="AI234" s="301">
        <v>236890</v>
      </c>
    </row>
    <row r="235" spans="1:35" ht="16" customHeight="1">
      <c r="A235">
        <v>2015</v>
      </c>
      <c r="B235">
        <v>1550</v>
      </c>
      <c r="C235" t="s">
        <v>258</v>
      </c>
      <c r="D235" t="s">
        <v>245</v>
      </c>
      <c r="E235">
        <v>98</v>
      </c>
      <c r="F235" t="s">
        <v>251</v>
      </c>
      <c r="G235" t="s">
        <v>247</v>
      </c>
      <c r="H235" t="s">
        <v>249</v>
      </c>
      <c r="I235" s="202">
        <v>0</v>
      </c>
      <c r="J235" s="202">
        <v>0</v>
      </c>
      <c r="K235" s="202">
        <v>0</v>
      </c>
      <c r="AA235" s="299">
        <v>2019</v>
      </c>
      <c r="AB235" s="299">
        <v>1370</v>
      </c>
      <c r="AC235" s="300" t="s">
        <v>255</v>
      </c>
      <c r="AD235" s="299">
        <v>755</v>
      </c>
      <c r="AE235" s="299">
        <v>117</v>
      </c>
      <c r="AF235" s="294" t="s">
        <v>374</v>
      </c>
      <c r="AG235" s="294" t="s">
        <v>375</v>
      </c>
      <c r="AH235" s="294" t="s">
        <v>376</v>
      </c>
      <c r="AI235" s="301">
        <v>358734</v>
      </c>
    </row>
    <row r="236" spans="1:35" ht="16" customHeight="1">
      <c r="AA236" s="299">
        <v>2019</v>
      </c>
      <c r="AB236" s="299">
        <v>1370</v>
      </c>
      <c r="AC236" s="300" t="s">
        <v>255</v>
      </c>
      <c r="AD236" s="299">
        <v>755</v>
      </c>
      <c r="AE236" s="299">
        <v>118</v>
      </c>
      <c r="AF236" s="294" t="s">
        <v>417</v>
      </c>
      <c r="AG236" s="294" t="s">
        <v>418</v>
      </c>
      <c r="AH236" s="294" t="s">
        <v>419</v>
      </c>
      <c r="AI236" s="301">
        <v>50711</v>
      </c>
    </row>
    <row r="237" spans="1:35" ht="16" customHeight="1">
      <c r="AA237" s="299">
        <v>2019</v>
      </c>
      <c r="AB237" s="299">
        <v>1370</v>
      </c>
      <c r="AC237" s="300" t="s">
        <v>255</v>
      </c>
      <c r="AD237" s="299">
        <v>755</v>
      </c>
      <c r="AE237" s="299">
        <v>119</v>
      </c>
      <c r="AF237" s="294" t="s">
        <v>417</v>
      </c>
      <c r="AG237" s="294" t="s">
        <v>418</v>
      </c>
      <c r="AH237" s="294" t="s">
        <v>420</v>
      </c>
      <c r="AI237" s="301">
        <v>0</v>
      </c>
    </row>
    <row r="238" spans="1:35" ht="16" customHeight="1">
      <c r="AA238" s="299">
        <v>2019</v>
      </c>
      <c r="AB238" s="299">
        <v>1370</v>
      </c>
      <c r="AC238" s="300" t="s">
        <v>255</v>
      </c>
      <c r="AD238" s="299">
        <v>755</v>
      </c>
      <c r="AE238" s="299">
        <v>120</v>
      </c>
      <c r="AF238" s="294" t="s">
        <v>421</v>
      </c>
      <c r="AG238" s="294" t="s">
        <v>422</v>
      </c>
      <c r="AH238" s="294" t="s">
        <v>322</v>
      </c>
      <c r="AI238" s="301">
        <v>999743</v>
      </c>
    </row>
    <row r="239" spans="1:35" ht="16" customHeight="1">
      <c r="AA239" s="299">
        <v>2019</v>
      </c>
      <c r="AB239" s="299">
        <v>1370</v>
      </c>
      <c r="AC239" s="300" t="s">
        <v>255</v>
      </c>
      <c r="AD239" s="299">
        <v>755</v>
      </c>
      <c r="AE239" s="299">
        <v>121</v>
      </c>
      <c r="AF239" s="294" t="s">
        <v>421</v>
      </c>
      <c r="AG239" s="294" t="s">
        <v>422</v>
      </c>
      <c r="AH239" s="294" t="s">
        <v>323</v>
      </c>
      <c r="AI239" s="301">
        <v>2228006</v>
      </c>
    </row>
    <row r="240" spans="1:35" ht="16" customHeight="1">
      <c r="AA240" s="299">
        <v>2019</v>
      </c>
      <c r="AB240" s="299">
        <v>1370</v>
      </c>
      <c r="AC240" s="300" t="s">
        <v>255</v>
      </c>
      <c r="AD240" s="299">
        <v>755</v>
      </c>
      <c r="AE240" s="299">
        <v>122</v>
      </c>
      <c r="AF240" s="294" t="s">
        <v>421</v>
      </c>
      <c r="AG240" s="294" t="s">
        <v>422</v>
      </c>
      <c r="AH240" s="294" t="s">
        <v>325</v>
      </c>
      <c r="AI240" s="301">
        <v>2902289</v>
      </c>
    </row>
    <row r="241" spans="27:35" ht="16" customHeight="1">
      <c r="AA241" s="299">
        <v>2019</v>
      </c>
      <c r="AB241" s="299">
        <v>1370</v>
      </c>
      <c r="AC241" s="300" t="s">
        <v>255</v>
      </c>
      <c r="AD241" s="299">
        <v>755</v>
      </c>
      <c r="AE241" s="299">
        <v>123</v>
      </c>
      <c r="AF241" s="294" t="s">
        <v>423</v>
      </c>
      <c r="AG241" s="294" t="s">
        <v>424</v>
      </c>
      <c r="AH241" s="294" t="s">
        <v>425</v>
      </c>
      <c r="AI241" s="301">
        <v>1092706</v>
      </c>
    </row>
    <row r="242" spans="27:35" ht="16" customHeight="1">
      <c r="AA242" s="299">
        <v>2019</v>
      </c>
      <c r="AB242" s="299">
        <v>1370</v>
      </c>
      <c r="AC242" s="300" t="s">
        <v>255</v>
      </c>
      <c r="AD242" s="299">
        <v>755</v>
      </c>
      <c r="AE242" s="299">
        <v>124</v>
      </c>
      <c r="AF242" s="294" t="s">
        <v>426</v>
      </c>
      <c r="AG242" s="294" t="s">
        <v>427</v>
      </c>
      <c r="AH242" s="294" t="s">
        <v>428</v>
      </c>
      <c r="AI242" s="301">
        <v>0</v>
      </c>
    </row>
    <row r="243" spans="27:35" ht="16" customHeight="1">
      <c r="AA243" s="299">
        <v>2019</v>
      </c>
      <c r="AB243" s="299">
        <v>1370</v>
      </c>
      <c r="AC243" s="300" t="s">
        <v>255</v>
      </c>
      <c r="AD243" s="299">
        <v>755</v>
      </c>
      <c r="AE243" s="299">
        <v>125</v>
      </c>
      <c r="AF243" s="294" t="s">
        <v>429</v>
      </c>
      <c r="AG243" s="294" t="s">
        <v>430</v>
      </c>
      <c r="AH243" s="294" t="s">
        <v>431</v>
      </c>
      <c r="AI243" s="301">
        <v>47498</v>
      </c>
    </row>
    <row r="244" spans="27:35" ht="16" customHeight="1">
      <c r="AA244" s="299">
        <v>2019</v>
      </c>
      <c r="AB244" s="299">
        <v>1370</v>
      </c>
      <c r="AC244" s="300" t="s">
        <v>255</v>
      </c>
      <c r="AD244" s="299">
        <v>755</v>
      </c>
      <c r="AE244" s="299">
        <v>126</v>
      </c>
      <c r="AF244" s="294" t="s">
        <v>432</v>
      </c>
      <c r="AG244" s="294" t="s">
        <v>433</v>
      </c>
      <c r="AH244" s="294" t="s">
        <v>434</v>
      </c>
      <c r="AI244" s="301">
        <v>0</v>
      </c>
    </row>
    <row r="245" spans="27:35" ht="16" customHeight="1">
      <c r="AA245" s="299">
        <v>2019</v>
      </c>
      <c r="AB245" s="299">
        <v>1370</v>
      </c>
      <c r="AC245" s="300" t="s">
        <v>255</v>
      </c>
      <c r="AD245" s="299">
        <v>755</v>
      </c>
      <c r="AE245" s="299">
        <v>127</v>
      </c>
      <c r="AF245" s="294" t="s">
        <v>432</v>
      </c>
      <c r="AG245" s="294" t="s">
        <v>433</v>
      </c>
      <c r="AH245" s="294" t="s">
        <v>435</v>
      </c>
      <c r="AI245" s="301">
        <v>28559711</v>
      </c>
    </row>
    <row r="246" spans="27:35" ht="16" customHeight="1">
      <c r="AA246" s="299">
        <v>2019</v>
      </c>
      <c r="AB246" s="299">
        <v>1370</v>
      </c>
      <c r="AC246" s="300" t="s">
        <v>255</v>
      </c>
      <c r="AD246" s="299">
        <v>755</v>
      </c>
      <c r="AE246" s="299">
        <v>128</v>
      </c>
      <c r="AF246" s="294" t="s">
        <v>432</v>
      </c>
      <c r="AG246" s="294" t="s">
        <v>433</v>
      </c>
      <c r="AH246" s="294" t="s">
        <v>158</v>
      </c>
      <c r="AI246" s="301">
        <v>523232</v>
      </c>
    </row>
    <row r="247" spans="27:35" ht="16" customHeight="1">
      <c r="AA247" s="299">
        <v>2019</v>
      </c>
      <c r="AB247" s="299">
        <v>1370</v>
      </c>
      <c r="AC247" s="300" t="s">
        <v>255</v>
      </c>
      <c r="AD247" s="299">
        <v>755</v>
      </c>
      <c r="AE247" s="299">
        <v>129</v>
      </c>
      <c r="AF247" s="294" t="s">
        <v>432</v>
      </c>
      <c r="AG247" s="294" t="s">
        <v>433</v>
      </c>
      <c r="AH247" s="294" t="s">
        <v>436</v>
      </c>
      <c r="AI247" s="301">
        <v>29082943</v>
      </c>
    </row>
    <row r="248" spans="27:35" ht="16" customHeight="1">
      <c r="AA248" s="299">
        <v>2019</v>
      </c>
      <c r="AB248" s="299">
        <v>1370</v>
      </c>
      <c r="AC248" s="300" t="s">
        <v>255</v>
      </c>
      <c r="AD248" s="299">
        <v>755</v>
      </c>
      <c r="AE248" s="299">
        <v>130</v>
      </c>
      <c r="AF248" s="294" t="s">
        <v>437</v>
      </c>
      <c r="AG248" s="294" t="s">
        <v>438</v>
      </c>
      <c r="AH248" s="294" t="s">
        <v>439</v>
      </c>
      <c r="AI248" s="301">
        <v>4300</v>
      </c>
    </row>
    <row r="249" spans="27:35" ht="16" customHeight="1">
      <c r="AA249" s="299">
        <v>2019</v>
      </c>
      <c r="AB249" s="299">
        <v>1370</v>
      </c>
      <c r="AC249" s="300" t="s">
        <v>255</v>
      </c>
      <c r="AD249" s="299">
        <v>755</v>
      </c>
      <c r="AE249" s="299">
        <v>131</v>
      </c>
      <c r="AF249" s="294" t="s">
        <v>437</v>
      </c>
      <c r="AG249" s="294" t="s">
        <v>438</v>
      </c>
      <c r="AH249" s="294" t="s">
        <v>440</v>
      </c>
      <c r="AI249" s="301">
        <v>0</v>
      </c>
    </row>
    <row r="250" spans="27:35" ht="16" customHeight="1">
      <c r="AA250" s="299">
        <v>2019</v>
      </c>
      <c r="AB250" s="299">
        <v>1370</v>
      </c>
      <c r="AC250" s="300" t="s">
        <v>255</v>
      </c>
      <c r="AD250" s="299">
        <v>755</v>
      </c>
      <c r="AE250" s="299">
        <v>132</v>
      </c>
      <c r="AF250" s="294" t="s">
        <v>437</v>
      </c>
      <c r="AG250" s="294" t="s">
        <v>441</v>
      </c>
      <c r="AH250" s="294" t="s">
        <v>442</v>
      </c>
      <c r="AI250" s="301">
        <v>0</v>
      </c>
    </row>
    <row r="251" spans="27:35" ht="16" customHeight="1">
      <c r="AA251" s="299">
        <v>2019</v>
      </c>
      <c r="AB251" s="299">
        <v>1370</v>
      </c>
      <c r="AC251" s="300" t="s">
        <v>255</v>
      </c>
      <c r="AD251" s="299">
        <v>755</v>
      </c>
      <c r="AE251" s="299">
        <v>133</v>
      </c>
      <c r="AF251" s="294" t="s">
        <v>437</v>
      </c>
      <c r="AG251" s="294" t="s">
        <v>443</v>
      </c>
      <c r="AH251" s="294" t="s">
        <v>444</v>
      </c>
      <c r="AI251" s="301">
        <v>4300</v>
      </c>
    </row>
    <row r="252" spans="27:35" ht="16" customHeight="1">
      <c r="AA252" s="299">
        <v>2019</v>
      </c>
      <c r="AB252" s="299">
        <v>1370</v>
      </c>
      <c r="AC252" s="300" t="s">
        <v>255</v>
      </c>
      <c r="AD252" s="299">
        <v>755</v>
      </c>
      <c r="AE252" s="299">
        <v>134</v>
      </c>
      <c r="AF252" s="294" t="s">
        <v>445</v>
      </c>
      <c r="AG252" s="294" t="s">
        <v>446</v>
      </c>
      <c r="AH252" s="294" t="s">
        <v>447</v>
      </c>
      <c r="AI252" s="301">
        <v>559</v>
      </c>
    </row>
    <row r="253" spans="27:35" ht="16" customHeight="1">
      <c r="AA253" s="299">
        <v>2019</v>
      </c>
      <c r="AB253" s="299">
        <v>1550</v>
      </c>
      <c r="AC253" s="300" t="s">
        <v>258</v>
      </c>
      <c r="AD253" s="299">
        <v>755</v>
      </c>
      <c r="AE253" s="299">
        <v>1</v>
      </c>
      <c r="AF253" s="294" t="s">
        <v>382</v>
      </c>
      <c r="AG253" s="294" t="s">
        <v>383</v>
      </c>
      <c r="AH253" s="294" t="s">
        <v>384</v>
      </c>
      <c r="AI253" s="301">
        <v>19451</v>
      </c>
    </row>
    <row r="254" spans="27:35" ht="16" customHeight="1">
      <c r="AA254" s="299">
        <v>2019</v>
      </c>
      <c r="AB254" s="299">
        <v>1550</v>
      </c>
      <c r="AC254" s="300" t="s">
        <v>258</v>
      </c>
      <c r="AD254" s="299">
        <v>755</v>
      </c>
      <c r="AE254" s="299">
        <v>2</v>
      </c>
      <c r="AF254" s="294" t="s">
        <v>320</v>
      </c>
      <c r="AG254" s="294" t="s">
        <v>321</v>
      </c>
      <c r="AH254" s="294" t="s">
        <v>322</v>
      </c>
      <c r="AI254" s="301">
        <v>10807452</v>
      </c>
    </row>
    <row r="255" spans="27:35" ht="16" customHeight="1">
      <c r="AA255" s="299">
        <v>2019</v>
      </c>
      <c r="AB255" s="299">
        <v>1550</v>
      </c>
      <c r="AC255" s="300" t="s">
        <v>258</v>
      </c>
      <c r="AD255" s="299">
        <v>755</v>
      </c>
      <c r="AE255" s="299">
        <v>3</v>
      </c>
      <c r="AF255" s="294" t="s">
        <v>320</v>
      </c>
      <c r="AG255" s="294" t="s">
        <v>321</v>
      </c>
      <c r="AH255" s="294" t="s">
        <v>323</v>
      </c>
      <c r="AI255" s="301">
        <v>12326489</v>
      </c>
    </row>
    <row r="256" spans="27:35" ht="16" customHeight="1">
      <c r="AA256" s="299">
        <v>2019</v>
      </c>
      <c r="AB256" s="299">
        <v>1550</v>
      </c>
      <c r="AC256" s="300" t="s">
        <v>258</v>
      </c>
      <c r="AD256" s="299">
        <v>755</v>
      </c>
      <c r="AE256" s="299">
        <v>4</v>
      </c>
      <c r="AF256" s="294" t="s">
        <v>320</v>
      </c>
      <c r="AG256" s="294" t="s">
        <v>324</v>
      </c>
      <c r="AH256" s="294" t="s">
        <v>325</v>
      </c>
      <c r="AI256" s="301">
        <v>47454421</v>
      </c>
    </row>
    <row r="257" spans="27:35" ht="16" customHeight="1">
      <c r="AA257" s="299">
        <v>2019</v>
      </c>
      <c r="AB257" s="299">
        <v>1550</v>
      </c>
      <c r="AC257" s="300" t="s">
        <v>258</v>
      </c>
      <c r="AD257" s="299">
        <v>755</v>
      </c>
      <c r="AE257" s="299">
        <v>5</v>
      </c>
      <c r="AF257" s="294" t="s">
        <v>320</v>
      </c>
      <c r="AG257" s="294" t="s">
        <v>324</v>
      </c>
      <c r="AH257" s="294" t="s">
        <v>326</v>
      </c>
      <c r="AI257" s="301">
        <v>70588362</v>
      </c>
    </row>
    <row r="258" spans="27:35" ht="16" customHeight="1">
      <c r="AA258" s="299">
        <v>2019</v>
      </c>
      <c r="AB258" s="299">
        <v>1550</v>
      </c>
      <c r="AC258" s="300" t="s">
        <v>258</v>
      </c>
      <c r="AD258" s="299">
        <v>755</v>
      </c>
      <c r="AE258" s="299">
        <v>6</v>
      </c>
      <c r="AF258" s="294" t="s">
        <v>320</v>
      </c>
      <c r="AG258" s="294" t="s">
        <v>327</v>
      </c>
      <c r="AH258" s="294" t="s">
        <v>328</v>
      </c>
      <c r="AI258" s="301">
        <v>0</v>
      </c>
    </row>
    <row r="259" spans="27:35" ht="16" customHeight="1">
      <c r="AA259" s="299">
        <v>2019</v>
      </c>
      <c r="AB259" s="299">
        <v>1550</v>
      </c>
      <c r="AC259" s="300" t="s">
        <v>258</v>
      </c>
      <c r="AD259" s="299">
        <v>755</v>
      </c>
      <c r="AE259" s="299">
        <v>7</v>
      </c>
      <c r="AF259" s="294" t="s">
        <v>320</v>
      </c>
      <c r="AG259" s="294" t="s">
        <v>324</v>
      </c>
      <c r="AH259" s="294" t="s">
        <v>329</v>
      </c>
      <c r="AI259" s="301">
        <v>70588362</v>
      </c>
    </row>
    <row r="260" spans="27:35" ht="16" customHeight="1">
      <c r="AA260" s="299">
        <v>2019</v>
      </c>
      <c r="AB260" s="299">
        <v>1550</v>
      </c>
      <c r="AC260" s="300" t="s">
        <v>258</v>
      </c>
      <c r="AD260" s="299">
        <v>755</v>
      </c>
      <c r="AE260" s="299">
        <v>8</v>
      </c>
      <c r="AF260" s="294" t="s">
        <v>330</v>
      </c>
      <c r="AG260" s="294" t="s">
        <v>331</v>
      </c>
      <c r="AH260" s="294" t="s">
        <v>322</v>
      </c>
      <c r="AI260" s="301">
        <v>26697813</v>
      </c>
    </row>
    <row r="261" spans="27:35" ht="16" customHeight="1">
      <c r="AA261" s="299">
        <v>2019</v>
      </c>
      <c r="AB261" s="299">
        <v>1550</v>
      </c>
      <c r="AC261" s="300" t="s">
        <v>258</v>
      </c>
      <c r="AD261" s="299">
        <v>755</v>
      </c>
      <c r="AE261" s="299">
        <v>9</v>
      </c>
      <c r="AF261" s="294" t="s">
        <v>330</v>
      </c>
      <c r="AG261" s="294" t="s">
        <v>331</v>
      </c>
      <c r="AH261" s="294" t="s">
        <v>323</v>
      </c>
      <c r="AI261" s="301">
        <v>19550385</v>
      </c>
    </row>
    <row r="262" spans="27:35" ht="16" customHeight="1">
      <c r="AA262" s="299">
        <v>2019</v>
      </c>
      <c r="AB262" s="299">
        <v>1550</v>
      </c>
      <c r="AC262" s="300" t="s">
        <v>258</v>
      </c>
      <c r="AD262" s="299">
        <v>755</v>
      </c>
      <c r="AE262" s="299">
        <v>10</v>
      </c>
      <c r="AF262" s="294" t="s">
        <v>330</v>
      </c>
      <c r="AG262" s="294" t="s">
        <v>332</v>
      </c>
      <c r="AH262" s="294" t="s">
        <v>325</v>
      </c>
      <c r="AI262" s="301">
        <v>112127822</v>
      </c>
    </row>
    <row r="263" spans="27:35" ht="16" customHeight="1">
      <c r="AA263" s="299">
        <v>2019</v>
      </c>
      <c r="AB263" s="299">
        <v>1550</v>
      </c>
      <c r="AC263" s="300" t="s">
        <v>258</v>
      </c>
      <c r="AD263" s="299">
        <v>755</v>
      </c>
      <c r="AE263" s="299">
        <v>11</v>
      </c>
      <c r="AF263" s="294" t="s">
        <v>330</v>
      </c>
      <c r="AG263" s="294" t="s">
        <v>332</v>
      </c>
      <c r="AH263" s="294" t="s">
        <v>333</v>
      </c>
      <c r="AI263" s="301">
        <v>158376020</v>
      </c>
    </row>
    <row r="264" spans="27:35" ht="16" customHeight="1">
      <c r="AA264" s="299">
        <v>2019</v>
      </c>
      <c r="AB264" s="299">
        <v>1550</v>
      </c>
      <c r="AC264" s="300" t="s">
        <v>258</v>
      </c>
      <c r="AD264" s="299">
        <v>755</v>
      </c>
      <c r="AE264" s="299">
        <v>12</v>
      </c>
      <c r="AF264" s="294" t="s">
        <v>330</v>
      </c>
      <c r="AG264" s="294" t="s">
        <v>334</v>
      </c>
      <c r="AH264" s="294" t="s">
        <v>335</v>
      </c>
      <c r="AI264" s="301">
        <v>5466042</v>
      </c>
    </row>
    <row r="265" spans="27:35" ht="16" customHeight="1">
      <c r="AA265" s="299">
        <v>2019</v>
      </c>
      <c r="AB265" s="299">
        <v>1550</v>
      </c>
      <c r="AC265" s="300" t="s">
        <v>258</v>
      </c>
      <c r="AD265" s="299">
        <v>755</v>
      </c>
      <c r="AE265" s="299">
        <v>13</v>
      </c>
      <c r="AF265" s="294" t="s">
        <v>330</v>
      </c>
      <c r="AG265" s="294" t="s">
        <v>336</v>
      </c>
      <c r="AH265" s="294" t="s">
        <v>308</v>
      </c>
      <c r="AI265" s="301">
        <v>11483744</v>
      </c>
    </row>
    <row r="266" spans="27:35" ht="16" customHeight="1">
      <c r="AA266" s="299">
        <v>2019</v>
      </c>
      <c r="AB266" s="299">
        <v>1550</v>
      </c>
      <c r="AC266" s="300" t="s">
        <v>258</v>
      </c>
      <c r="AD266" s="299">
        <v>755</v>
      </c>
      <c r="AE266" s="299">
        <v>14</v>
      </c>
      <c r="AF266" s="294" t="s">
        <v>330</v>
      </c>
      <c r="AG266" s="294" t="s">
        <v>337</v>
      </c>
      <c r="AH266" s="294" t="s">
        <v>338</v>
      </c>
      <c r="AI266" s="301">
        <v>175325806</v>
      </c>
    </row>
    <row r="267" spans="27:35" ht="16" customHeight="1">
      <c r="AA267" s="299">
        <v>2019</v>
      </c>
      <c r="AB267" s="299">
        <v>1550</v>
      </c>
      <c r="AC267" s="300" t="s">
        <v>258</v>
      </c>
      <c r="AD267" s="299">
        <v>755</v>
      </c>
      <c r="AE267" s="299">
        <v>15</v>
      </c>
      <c r="AF267" s="294" t="s">
        <v>385</v>
      </c>
      <c r="AG267" s="294" t="s">
        <v>386</v>
      </c>
      <c r="AH267" s="294" t="s">
        <v>387</v>
      </c>
      <c r="AI267" s="301">
        <v>0</v>
      </c>
    </row>
    <row r="268" spans="27:35" ht="16" customHeight="1">
      <c r="AA268" s="299">
        <v>2019</v>
      </c>
      <c r="AB268" s="299">
        <v>1550</v>
      </c>
      <c r="AC268" s="300" t="s">
        <v>258</v>
      </c>
      <c r="AD268" s="299">
        <v>755</v>
      </c>
      <c r="AE268" s="299">
        <v>16</v>
      </c>
      <c r="AF268" s="294" t="s">
        <v>385</v>
      </c>
      <c r="AG268" s="294" t="s">
        <v>386</v>
      </c>
      <c r="AH268" s="294" t="s">
        <v>388</v>
      </c>
      <c r="AI268" s="301">
        <v>6354000</v>
      </c>
    </row>
    <row r="269" spans="27:35" ht="16" customHeight="1">
      <c r="AA269" s="299">
        <v>2019</v>
      </c>
      <c r="AB269" s="299">
        <v>1550</v>
      </c>
      <c r="AC269" s="300" t="s">
        <v>258</v>
      </c>
      <c r="AD269" s="299">
        <v>755</v>
      </c>
      <c r="AE269" s="299">
        <v>17</v>
      </c>
      <c r="AF269" s="294" t="s">
        <v>385</v>
      </c>
      <c r="AG269" s="294" t="s">
        <v>386</v>
      </c>
      <c r="AH269" s="294" t="s">
        <v>389</v>
      </c>
      <c r="AI269" s="301">
        <v>80772000</v>
      </c>
    </row>
    <row r="270" spans="27:35" ht="16" customHeight="1">
      <c r="AA270" s="299">
        <v>2019</v>
      </c>
      <c r="AB270" s="299">
        <v>1550</v>
      </c>
      <c r="AC270" s="300" t="s">
        <v>258</v>
      </c>
      <c r="AD270" s="299">
        <v>755</v>
      </c>
      <c r="AE270" s="299">
        <v>18</v>
      </c>
      <c r="AF270" s="294" t="s">
        <v>385</v>
      </c>
      <c r="AG270" s="294" t="s">
        <v>386</v>
      </c>
      <c r="AH270" s="294" t="s">
        <v>390</v>
      </c>
      <c r="AI270" s="301">
        <v>159411000</v>
      </c>
    </row>
    <row r="271" spans="27:35" ht="16" customHeight="1">
      <c r="AA271" s="299">
        <v>2019</v>
      </c>
      <c r="AB271" s="299">
        <v>1550</v>
      </c>
      <c r="AC271" s="300" t="s">
        <v>258</v>
      </c>
      <c r="AD271" s="299">
        <v>755</v>
      </c>
      <c r="AE271" s="299">
        <v>19</v>
      </c>
      <c r="AF271" s="294" t="s">
        <v>385</v>
      </c>
      <c r="AG271" s="294" t="s">
        <v>386</v>
      </c>
      <c r="AH271" s="294" t="s">
        <v>391</v>
      </c>
      <c r="AI271" s="301">
        <v>65896000</v>
      </c>
    </row>
    <row r="272" spans="27:35" ht="16" customHeight="1">
      <c r="AA272" s="299">
        <v>2019</v>
      </c>
      <c r="AB272" s="299">
        <v>1550</v>
      </c>
      <c r="AC272" s="300" t="s">
        <v>258</v>
      </c>
      <c r="AD272" s="299">
        <v>755</v>
      </c>
      <c r="AE272" s="299">
        <v>20</v>
      </c>
      <c r="AF272" s="294" t="s">
        <v>385</v>
      </c>
      <c r="AG272" s="294" t="s">
        <v>386</v>
      </c>
      <c r="AH272" s="294" t="s">
        <v>392</v>
      </c>
      <c r="AI272" s="301">
        <v>92148000</v>
      </c>
    </row>
    <row r="273" spans="27:35" ht="16" customHeight="1">
      <c r="AA273" s="299">
        <v>2019</v>
      </c>
      <c r="AB273" s="299">
        <v>1550</v>
      </c>
      <c r="AC273" s="300" t="s">
        <v>258</v>
      </c>
      <c r="AD273" s="299">
        <v>755</v>
      </c>
      <c r="AE273" s="299">
        <v>21</v>
      </c>
      <c r="AF273" s="294" t="s">
        <v>385</v>
      </c>
      <c r="AG273" s="294" t="s">
        <v>386</v>
      </c>
      <c r="AH273" s="294" t="s">
        <v>393</v>
      </c>
      <c r="AI273" s="301">
        <v>45985000</v>
      </c>
    </row>
    <row r="274" spans="27:35" ht="16" customHeight="1">
      <c r="AA274" s="299">
        <v>2019</v>
      </c>
      <c r="AB274" s="299">
        <v>1550</v>
      </c>
      <c r="AC274" s="300" t="s">
        <v>258</v>
      </c>
      <c r="AD274" s="299">
        <v>755</v>
      </c>
      <c r="AE274" s="299">
        <v>22</v>
      </c>
      <c r="AF274" s="294" t="s">
        <v>385</v>
      </c>
      <c r="AG274" s="294" t="s">
        <v>386</v>
      </c>
      <c r="AH274" s="294" t="s">
        <v>394</v>
      </c>
      <c r="AI274" s="301">
        <v>10937000</v>
      </c>
    </row>
    <row r="275" spans="27:35" ht="16" customHeight="1">
      <c r="AA275" s="299">
        <v>2019</v>
      </c>
      <c r="AB275" s="299">
        <v>1550</v>
      </c>
      <c r="AC275" s="300" t="s">
        <v>258</v>
      </c>
      <c r="AD275" s="299">
        <v>755</v>
      </c>
      <c r="AE275" s="299">
        <v>23</v>
      </c>
      <c r="AF275" s="294" t="s">
        <v>385</v>
      </c>
      <c r="AG275" s="294" t="s">
        <v>386</v>
      </c>
      <c r="AH275" s="294" t="s">
        <v>395</v>
      </c>
      <c r="AI275" s="301">
        <v>3116000</v>
      </c>
    </row>
    <row r="276" spans="27:35" ht="16" customHeight="1">
      <c r="AA276" s="299">
        <v>2019</v>
      </c>
      <c r="AB276" s="299">
        <v>1550</v>
      </c>
      <c r="AC276" s="300" t="s">
        <v>258</v>
      </c>
      <c r="AD276" s="299">
        <v>755</v>
      </c>
      <c r="AE276" s="299">
        <v>24</v>
      </c>
      <c r="AF276" s="294" t="s">
        <v>385</v>
      </c>
      <c r="AG276" s="294" t="s">
        <v>386</v>
      </c>
      <c r="AH276" s="294" t="s">
        <v>396</v>
      </c>
      <c r="AI276" s="301">
        <v>3339000</v>
      </c>
    </row>
    <row r="277" spans="27:35" ht="16" customHeight="1">
      <c r="AA277" s="299">
        <v>2019</v>
      </c>
      <c r="AB277" s="299">
        <v>1550</v>
      </c>
      <c r="AC277" s="300" t="s">
        <v>258</v>
      </c>
      <c r="AD277" s="299">
        <v>755</v>
      </c>
      <c r="AE277" s="299">
        <v>25</v>
      </c>
      <c r="AF277" s="294" t="s">
        <v>385</v>
      </c>
      <c r="AG277" s="294" t="s">
        <v>386</v>
      </c>
      <c r="AH277" s="294" t="s">
        <v>397</v>
      </c>
      <c r="AI277" s="301">
        <v>169108000</v>
      </c>
    </row>
    <row r="278" spans="27:35" ht="16" customHeight="1">
      <c r="AA278" s="299">
        <v>2019</v>
      </c>
      <c r="AB278" s="299">
        <v>1550</v>
      </c>
      <c r="AC278" s="300" t="s">
        <v>258</v>
      </c>
      <c r="AD278" s="299">
        <v>755</v>
      </c>
      <c r="AE278" s="299">
        <v>26</v>
      </c>
      <c r="AF278" s="294" t="s">
        <v>385</v>
      </c>
      <c r="AG278" s="294" t="s">
        <v>386</v>
      </c>
      <c r="AH278" s="294" t="s">
        <v>398</v>
      </c>
      <c r="AI278" s="301">
        <v>30268000</v>
      </c>
    </row>
    <row r="279" spans="27:35" ht="16" customHeight="1">
      <c r="AA279" s="299">
        <v>2019</v>
      </c>
      <c r="AB279" s="299">
        <v>1550</v>
      </c>
      <c r="AC279" s="300" t="s">
        <v>258</v>
      </c>
      <c r="AD279" s="299">
        <v>755</v>
      </c>
      <c r="AE279" s="299">
        <v>27</v>
      </c>
      <c r="AF279" s="294" t="s">
        <v>385</v>
      </c>
      <c r="AG279" s="294" t="s">
        <v>386</v>
      </c>
      <c r="AH279" s="294" t="s">
        <v>399</v>
      </c>
      <c r="AI279" s="301">
        <v>133000</v>
      </c>
    </row>
    <row r="280" spans="27:35" ht="16" customHeight="1">
      <c r="AA280" s="299">
        <v>2019</v>
      </c>
      <c r="AB280" s="299">
        <v>1550</v>
      </c>
      <c r="AC280" s="300" t="s">
        <v>258</v>
      </c>
      <c r="AD280" s="299">
        <v>755</v>
      </c>
      <c r="AE280" s="299">
        <v>28</v>
      </c>
      <c r="AF280" s="294" t="s">
        <v>385</v>
      </c>
      <c r="AG280" s="294" t="s">
        <v>386</v>
      </c>
      <c r="AH280" s="294" t="s">
        <v>400</v>
      </c>
      <c r="AI280" s="301">
        <v>26529000</v>
      </c>
    </row>
    <row r="281" spans="27:35" ht="16" customHeight="1">
      <c r="AA281" s="299">
        <v>2019</v>
      </c>
      <c r="AB281" s="299">
        <v>1550</v>
      </c>
      <c r="AC281" s="300" t="s">
        <v>258</v>
      </c>
      <c r="AD281" s="299">
        <v>755</v>
      </c>
      <c r="AE281" s="299">
        <v>29</v>
      </c>
      <c r="AF281" s="294" t="s">
        <v>385</v>
      </c>
      <c r="AG281" s="294" t="s">
        <v>401</v>
      </c>
      <c r="AH281" s="294" t="s">
        <v>402</v>
      </c>
      <c r="AI281" s="301">
        <v>47996000</v>
      </c>
    </row>
    <row r="282" spans="27:35" ht="16" customHeight="1">
      <c r="AA282" s="299">
        <v>2019</v>
      </c>
      <c r="AB282" s="299">
        <v>1550</v>
      </c>
      <c r="AC282" s="300" t="s">
        <v>258</v>
      </c>
      <c r="AD282" s="299">
        <v>755</v>
      </c>
      <c r="AE282" s="299">
        <v>30</v>
      </c>
      <c r="AF282" s="294" t="s">
        <v>385</v>
      </c>
      <c r="AG282" s="294" t="s">
        <v>401</v>
      </c>
      <c r="AH282" s="294" t="s">
        <v>403</v>
      </c>
      <c r="AI282" s="301">
        <v>741992000</v>
      </c>
    </row>
    <row r="283" spans="27:35" ht="16" customHeight="1">
      <c r="AA283" s="299">
        <v>2019</v>
      </c>
      <c r="AB283" s="299">
        <v>1550</v>
      </c>
      <c r="AC283" s="300" t="s">
        <v>258</v>
      </c>
      <c r="AD283" s="299">
        <v>755</v>
      </c>
      <c r="AE283" s="299">
        <v>31</v>
      </c>
      <c r="AF283" s="294" t="s">
        <v>385</v>
      </c>
      <c r="AG283" s="294" t="s">
        <v>404</v>
      </c>
      <c r="AH283" s="294" t="s">
        <v>387</v>
      </c>
      <c r="AI283" s="301">
        <v>0</v>
      </c>
    </row>
    <row r="284" spans="27:35" ht="16" customHeight="1">
      <c r="AA284" s="299">
        <v>2019</v>
      </c>
      <c r="AB284" s="299">
        <v>1550</v>
      </c>
      <c r="AC284" s="300" t="s">
        <v>258</v>
      </c>
      <c r="AD284" s="299">
        <v>755</v>
      </c>
      <c r="AE284" s="299">
        <v>32</v>
      </c>
      <c r="AF284" s="294" t="s">
        <v>385</v>
      </c>
      <c r="AG284" s="294" t="s">
        <v>404</v>
      </c>
      <c r="AH284" s="294" t="s">
        <v>388</v>
      </c>
      <c r="AI284" s="301">
        <v>6455000</v>
      </c>
    </row>
    <row r="285" spans="27:35" ht="16" customHeight="1">
      <c r="AA285" s="299">
        <v>2019</v>
      </c>
      <c r="AB285" s="299">
        <v>1550</v>
      </c>
      <c r="AC285" s="300" t="s">
        <v>258</v>
      </c>
      <c r="AD285" s="299">
        <v>755</v>
      </c>
      <c r="AE285" s="299">
        <v>33</v>
      </c>
      <c r="AF285" s="294" t="s">
        <v>385</v>
      </c>
      <c r="AG285" s="294" t="s">
        <v>404</v>
      </c>
      <c r="AH285" s="294" t="s">
        <v>389</v>
      </c>
      <c r="AI285" s="301">
        <v>80713000</v>
      </c>
    </row>
    <row r="286" spans="27:35" ht="16" customHeight="1">
      <c r="AA286" s="299">
        <v>2019</v>
      </c>
      <c r="AB286" s="299">
        <v>1550</v>
      </c>
      <c r="AC286" s="300" t="s">
        <v>258</v>
      </c>
      <c r="AD286" s="299">
        <v>755</v>
      </c>
      <c r="AE286" s="299">
        <v>34</v>
      </c>
      <c r="AF286" s="294" t="s">
        <v>385</v>
      </c>
      <c r="AG286" s="294" t="s">
        <v>404</v>
      </c>
      <c r="AH286" s="294" t="s">
        <v>390</v>
      </c>
      <c r="AI286" s="301">
        <v>154500000</v>
      </c>
    </row>
    <row r="287" spans="27:35" ht="16" customHeight="1">
      <c r="AA287" s="299">
        <v>2019</v>
      </c>
      <c r="AB287" s="299">
        <v>1550</v>
      </c>
      <c r="AC287" s="300" t="s">
        <v>258</v>
      </c>
      <c r="AD287" s="299">
        <v>755</v>
      </c>
      <c r="AE287" s="299">
        <v>35</v>
      </c>
      <c r="AF287" s="294" t="s">
        <v>385</v>
      </c>
      <c r="AG287" s="294" t="s">
        <v>404</v>
      </c>
      <c r="AH287" s="294" t="s">
        <v>391</v>
      </c>
      <c r="AI287" s="301">
        <v>59261000</v>
      </c>
    </row>
    <row r="288" spans="27:35" ht="16" customHeight="1">
      <c r="AA288" s="299">
        <v>2019</v>
      </c>
      <c r="AB288" s="299">
        <v>1550</v>
      </c>
      <c r="AC288" s="300" t="s">
        <v>258</v>
      </c>
      <c r="AD288" s="299">
        <v>755</v>
      </c>
      <c r="AE288" s="299">
        <v>36</v>
      </c>
      <c r="AF288" s="294" t="s">
        <v>385</v>
      </c>
      <c r="AG288" s="294" t="s">
        <v>404</v>
      </c>
      <c r="AH288" s="294" t="s">
        <v>392</v>
      </c>
      <c r="AI288" s="301">
        <v>95867000</v>
      </c>
    </row>
    <row r="289" spans="27:35" ht="16" customHeight="1">
      <c r="AA289" s="299">
        <v>2019</v>
      </c>
      <c r="AB289" s="299">
        <v>1550</v>
      </c>
      <c r="AC289" s="300" t="s">
        <v>258</v>
      </c>
      <c r="AD289" s="299">
        <v>755</v>
      </c>
      <c r="AE289" s="299">
        <v>37</v>
      </c>
      <c r="AF289" s="294" t="s">
        <v>385</v>
      </c>
      <c r="AG289" s="294" t="s">
        <v>404</v>
      </c>
      <c r="AH289" s="294" t="s">
        <v>393</v>
      </c>
      <c r="AI289" s="301">
        <v>47517000</v>
      </c>
    </row>
    <row r="290" spans="27:35" ht="16" customHeight="1">
      <c r="AA290" s="299">
        <v>2019</v>
      </c>
      <c r="AB290" s="299">
        <v>1550</v>
      </c>
      <c r="AC290" s="300" t="s">
        <v>258</v>
      </c>
      <c r="AD290" s="299">
        <v>755</v>
      </c>
      <c r="AE290" s="299">
        <v>38</v>
      </c>
      <c r="AF290" s="294" t="s">
        <v>385</v>
      </c>
      <c r="AG290" s="294" t="s">
        <v>404</v>
      </c>
      <c r="AH290" s="294" t="s">
        <v>394</v>
      </c>
      <c r="AI290" s="301">
        <v>12148000</v>
      </c>
    </row>
    <row r="291" spans="27:35" ht="16" customHeight="1">
      <c r="AA291" s="299">
        <v>2019</v>
      </c>
      <c r="AB291" s="299">
        <v>1550</v>
      </c>
      <c r="AC291" s="300" t="s">
        <v>258</v>
      </c>
      <c r="AD291" s="299">
        <v>755</v>
      </c>
      <c r="AE291" s="299">
        <v>39</v>
      </c>
      <c r="AF291" s="294" t="s">
        <v>385</v>
      </c>
      <c r="AG291" s="294" t="s">
        <v>404</v>
      </c>
      <c r="AH291" s="294" t="s">
        <v>395</v>
      </c>
      <c r="AI291" s="301">
        <v>3215000</v>
      </c>
    </row>
    <row r="292" spans="27:35" ht="16" customHeight="1">
      <c r="AA292" s="299">
        <v>2019</v>
      </c>
      <c r="AB292" s="299">
        <v>1550</v>
      </c>
      <c r="AC292" s="300" t="s">
        <v>258</v>
      </c>
      <c r="AD292" s="299">
        <v>755</v>
      </c>
      <c r="AE292" s="299">
        <v>40</v>
      </c>
      <c r="AF292" s="294" t="s">
        <v>385</v>
      </c>
      <c r="AG292" s="294" t="s">
        <v>404</v>
      </c>
      <c r="AH292" s="294" t="s">
        <v>396</v>
      </c>
      <c r="AI292" s="301">
        <v>2811000</v>
      </c>
    </row>
    <row r="293" spans="27:35" ht="16" customHeight="1">
      <c r="AA293" s="299">
        <v>2019</v>
      </c>
      <c r="AB293" s="299">
        <v>1550</v>
      </c>
      <c r="AC293" s="300" t="s">
        <v>258</v>
      </c>
      <c r="AD293" s="299">
        <v>755</v>
      </c>
      <c r="AE293" s="299">
        <v>41</v>
      </c>
      <c r="AF293" s="294" t="s">
        <v>385</v>
      </c>
      <c r="AG293" s="294" t="s">
        <v>404</v>
      </c>
      <c r="AH293" s="294" t="s">
        <v>397</v>
      </c>
      <c r="AI293" s="301">
        <v>17399000</v>
      </c>
    </row>
    <row r="294" spans="27:35" ht="16" customHeight="1">
      <c r="AA294" s="299">
        <v>2019</v>
      </c>
      <c r="AB294" s="299">
        <v>1550</v>
      </c>
      <c r="AC294" s="300" t="s">
        <v>258</v>
      </c>
      <c r="AD294" s="299">
        <v>755</v>
      </c>
      <c r="AE294" s="299">
        <v>42</v>
      </c>
      <c r="AF294" s="294" t="s">
        <v>385</v>
      </c>
      <c r="AG294" s="294" t="s">
        <v>404</v>
      </c>
      <c r="AH294" s="294" t="s">
        <v>398</v>
      </c>
      <c r="AI294" s="301">
        <v>24710000</v>
      </c>
    </row>
    <row r="295" spans="27:35" ht="16" customHeight="1">
      <c r="AA295" s="299">
        <v>2019</v>
      </c>
      <c r="AB295" s="299">
        <v>1550</v>
      </c>
      <c r="AC295" s="300" t="s">
        <v>258</v>
      </c>
      <c r="AD295" s="299">
        <v>755</v>
      </c>
      <c r="AE295" s="299">
        <v>43</v>
      </c>
      <c r="AF295" s="294" t="s">
        <v>385</v>
      </c>
      <c r="AG295" s="294" t="s">
        <v>404</v>
      </c>
      <c r="AH295" s="294" t="s">
        <v>399</v>
      </c>
      <c r="AI295" s="301">
        <v>152000</v>
      </c>
    </row>
    <row r="296" spans="27:35" ht="16" customHeight="1">
      <c r="AA296" s="299">
        <v>2019</v>
      </c>
      <c r="AB296" s="299">
        <v>1550</v>
      </c>
      <c r="AC296" s="300" t="s">
        <v>258</v>
      </c>
      <c r="AD296" s="299">
        <v>755</v>
      </c>
      <c r="AE296" s="299">
        <v>44</v>
      </c>
      <c r="AF296" s="294" t="s">
        <v>385</v>
      </c>
      <c r="AG296" s="294" t="s">
        <v>404</v>
      </c>
      <c r="AH296" s="294" t="s">
        <v>400</v>
      </c>
      <c r="AI296" s="301">
        <v>28404000</v>
      </c>
    </row>
    <row r="297" spans="27:35" ht="16" customHeight="1">
      <c r="AA297" s="299">
        <v>2019</v>
      </c>
      <c r="AB297" s="299">
        <v>1550</v>
      </c>
      <c r="AC297" s="300" t="s">
        <v>258</v>
      </c>
      <c r="AD297" s="299">
        <v>755</v>
      </c>
      <c r="AE297" s="299">
        <v>45</v>
      </c>
      <c r="AF297" s="294" t="s">
        <v>385</v>
      </c>
      <c r="AG297" s="294" t="s">
        <v>405</v>
      </c>
      <c r="AH297" s="294" t="s">
        <v>402</v>
      </c>
      <c r="AI297" s="301">
        <v>221000</v>
      </c>
    </row>
    <row r="298" spans="27:35" ht="16" customHeight="1">
      <c r="AA298" s="299">
        <v>2019</v>
      </c>
      <c r="AB298" s="299">
        <v>1550</v>
      </c>
      <c r="AC298" s="300" t="s">
        <v>258</v>
      </c>
      <c r="AD298" s="299">
        <v>755</v>
      </c>
      <c r="AE298" s="299">
        <v>46</v>
      </c>
      <c r="AF298" s="294" t="s">
        <v>385</v>
      </c>
      <c r="AG298" s="294" t="s">
        <v>405</v>
      </c>
      <c r="AH298" s="294" t="s">
        <v>406</v>
      </c>
      <c r="AI298" s="301">
        <v>533373000</v>
      </c>
    </row>
    <row r="299" spans="27:35" ht="16" customHeight="1">
      <c r="AA299" s="299">
        <v>2019</v>
      </c>
      <c r="AB299" s="299">
        <v>1550</v>
      </c>
      <c r="AC299" s="300" t="s">
        <v>258</v>
      </c>
      <c r="AD299" s="299">
        <v>755</v>
      </c>
      <c r="AE299" s="299">
        <v>47</v>
      </c>
      <c r="AF299" s="294" t="s">
        <v>385</v>
      </c>
      <c r="AG299" s="294" t="s">
        <v>407</v>
      </c>
      <c r="AH299" s="294" t="s">
        <v>387</v>
      </c>
      <c r="AI299" s="301">
        <v>0</v>
      </c>
    </row>
    <row r="300" spans="27:35" ht="16" customHeight="1">
      <c r="AA300" s="299">
        <v>2019</v>
      </c>
      <c r="AB300" s="299">
        <v>1550</v>
      </c>
      <c r="AC300" s="300" t="s">
        <v>258</v>
      </c>
      <c r="AD300" s="299">
        <v>755</v>
      </c>
      <c r="AE300" s="299">
        <v>48</v>
      </c>
      <c r="AF300" s="294" t="s">
        <v>385</v>
      </c>
      <c r="AG300" s="294" t="s">
        <v>407</v>
      </c>
      <c r="AH300" s="294" t="s">
        <v>388</v>
      </c>
      <c r="AI300" s="301">
        <v>7931000</v>
      </c>
    </row>
    <row r="301" spans="27:35" ht="16" customHeight="1">
      <c r="AA301" s="299">
        <v>2019</v>
      </c>
      <c r="AB301" s="299">
        <v>1550</v>
      </c>
      <c r="AC301" s="300" t="s">
        <v>258</v>
      </c>
      <c r="AD301" s="299">
        <v>755</v>
      </c>
      <c r="AE301" s="299">
        <v>49</v>
      </c>
      <c r="AF301" s="294" t="s">
        <v>385</v>
      </c>
      <c r="AG301" s="294" t="s">
        <v>407</v>
      </c>
      <c r="AH301" s="294" t="s">
        <v>389</v>
      </c>
      <c r="AI301" s="301">
        <v>50976000</v>
      </c>
    </row>
    <row r="302" spans="27:35" ht="16" customHeight="1">
      <c r="AA302" s="299">
        <v>2019</v>
      </c>
      <c r="AB302" s="299">
        <v>1550</v>
      </c>
      <c r="AC302" s="300" t="s">
        <v>258</v>
      </c>
      <c r="AD302" s="299">
        <v>755</v>
      </c>
      <c r="AE302" s="299">
        <v>50</v>
      </c>
      <c r="AF302" s="294" t="s">
        <v>385</v>
      </c>
      <c r="AG302" s="294" t="s">
        <v>407</v>
      </c>
      <c r="AH302" s="294" t="s">
        <v>390</v>
      </c>
      <c r="AI302" s="301">
        <v>61972000</v>
      </c>
    </row>
    <row r="303" spans="27:35" ht="16" customHeight="1">
      <c r="AA303" s="299">
        <v>2019</v>
      </c>
      <c r="AB303" s="299">
        <v>1550</v>
      </c>
      <c r="AC303" s="300" t="s">
        <v>258</v>
      </c>
      <c r="AD303" s="299">
        <v>755</v>
      </c>
      <c r="AE303" s="299">
        <v>51</v>
      </c>
      <c r="AF303" s="294" t="s">
        <v>385</v>
      </c>
      <c r="AG303" s="294" t="s">
        <v>407</v>
      </c>
      <c r="AH303" s="294" t="s">
        <v>391</v>
      </c>
      <c r="AI303" s="301">
        <v>14329000</v>
      </c>
    </row>
    <row r="304" spans="27:35" ht="16" customHeight="1">
      <c r="AA304" s="299">
        <v>2019</v>
      </c>
      <c r="AB304" s="299">
        <v>1550</v>
      </c>
      <c r="AC304" s="300" t="s">
        <v>258</v>
      </c>
      <c r="AD304" s="299">
        <v>755</v>
      </c>
      <c r="AE304" s="299">
        <v>52</v>
      </c>
      <c r="AF304" s="294" t="s">
        <v>385</v>
      </c>
      <c r="AG304" s="294" t="s">
        <v>407</v>
      </c>
      <c r="AH304" s="294" t="s">
        <v>392</v>
      </c>
      <c r="AI304" s="301">
        <v>350430000</v>
      </c>
    </row>
    <row r="305" spans="27:35" ht="16" customHeight="1">
      <c r="AA305" s="299">
        <v>2019</v>
      </c>
      <c r="AB305" s="299">
        <v>1550</v>
      </c>
      <c r="AC305" s="300" t="s">
        <v>258</v>
      </c>
      <c r="AD305" s="299">
        <v>755</v>
      </c>
      <c r="AE305" s="299">
        <v>53</v>
      </c>
      <c r="AF305" s="294" t="s">
        <v>385</v>
      </c>
      <c r="AG305" s="294" t="s">
        <v>407</v>
      </c>
      <c r="AH305" s="294" t="s">
        <v>393</v>
      </c>
      <c r="AI305" s="301">
        <v>22192000</v>
      </c>
    </row>
    <row r="306" spans="27:35" ht="16" customHeight="1">
      <c r="AA306" s="299">
        <v>2019</v>
      </c>
      <c r="AB306" s="299">
        <v>1550</v>
      </c>
      <c r="AC306" s="300" t="s">
        <v>258</v>
      </c>
      <c r="AD306" s="299">
        <v>755</v>
      </c>
      <c r="AE306" s="299">
        <v>54</v>
      </c>
      <c r="AF306" s="294" t="s">
        <v>385</v>
      </c>
      <c r="AG306" s="294" t="s">
        <v>407</v>
      </c>
      <c r="AH306" s="294" t="s">
        <v>394</v>
      </c>
      <c r="AI306" s="301">
        <v>99075000</v>
      </c>
    </row>
    <row r="307" spans="27:35" ht="16" customHeight="1">
      <c r="AA307" s="299">
        <v>2019</v>
      </c>
      <c r="AB307" s="299">
        <v>1550</v>
      </c>
      <c r="AC307" s="300" t="s">
        <v>258</v>
      </c>
      <c r="AD307" s="299">
        <v>755</v>
      </c>
      <c r="AE307" s="299">
        <v>55</v>
      </c>
      <c r="AF307" s="294" t="s">
        <v>385</v>
      </c>
      <c r="AG307" s="294" t="s">
        <v>407</v>
      </c>
      <c r="AH307" s="294" t="s">
        <v>395</v>
      </c>
      <c r="AI307" s="301">
        <v>2274000</v>
      </c>
    </row>
    <row r="308" spans="27:35" ht="16" customHeight="1">
      <c r="AA308" s="299">
        <v>2019</v>
      </c>
      <c r="AB308" s="299">
        <v>1550</v>
      </c>
      <c r="AC308" s="300" t="s">
        <v>258</v>
      </c>
      <c r="AD308" s="299">
        <v>755</v>
      </c>
      <c r="AE308" s="299">
        <v>56</v>
      </c>
      <c r="AF308" s="294" t="s">
        <v>385</v>
      </c>
      <c r="AG308" s="294" t="s">
        <v>407</v>
      </c>
      <c r="AH308" s="294" t="s">
        <v>396</v>
      </c>
      <c r="AI308" s="301">
        <v>537000</v>
      </c>
    </row>
    <row r="309" spans="27:35" ht="16" customHeight="1">
      <c r="AA309" s="299">
        <v>2019</v>
      </c>
      <c r="AB309" s="299">
        <v>1550</v>
      </c>
      <c r="AC309" s="300" t="s">
        <v>258</v>
      </c>
      <c r="AD309" s="299">
        <v>755</v>
      </c>
      <c r="AE309" s="299">
        <v>57</v>
      </c>
      <c r="AF309" s="294" t="s">
        <v>385</v>
      </c>
      <c r="AG309" s="294" t="s">
        <v>407</v>
      </c>
      <c r="AH309" s="294" t="s">
        <v>397</v>
      </c>
      <c r="AI309" s="301">
        <v>520079000</v>
      </c>
    </row>
    <row r="310" spans="27:35" ht="16" customHeight="1">
      <c r="AA310" s="299">
        <v>2019</v>
      </c>
      <c r="AB310" s="299">
        <v>1550</v>
      </c>
      <c r="AC310" s="300" t="s">
        <v>258</v>
      </c>
      <c r="AD310" s="299">
        <v>755</v>
      </c>
      <c r="AE310" s="299">
        <v>58</v>
      </c>
      <c r="AF310" s="294" t="s">
        <v>385</v>
      </c>
      <c r="AG310" s="294" t="s">
        <v>407</v>
      </c>
      <c r="AH310" s="294" t="s">
        <v>398</v>
      </c>
      <c r="AI310" s="301">
        <v>173858000</v>
      </c>
    </row>
    <row r="311" spans="27:35" ht="16" customHeight="1">
      <c r="AA311" s="299">
        <v>2019</v>
      </c>
      <c r="AB311" s="299">
        <v>1550</v>
      </c>
      <c r="AC311" s="300" t="s">
        <v>258</v>
      </c>
      <c r="AD311" s="299">
        <v>755</v>
      </c>
      <c r="AE311" s="299">
        <v>59</v>
      </c>
      <c r="AF311" s="294" t="s">
        <v>385</v>
      </c>
      <c r="AG311" s="294" t="s">
        <v>407</v>
      </c>
      <c r="AH311" s="294" t="s">
        <v>399</v>
      </c>
      <c r="AI311" s="301">
        <v>383000</v>
      </c>
    </row>
    <row r="312" spans="27:35" ht="16" customHeight="1">
      <c r="AA312" s="299">
        <v>2019</v>
      </c>
      <c r="AB312" s="299">
        <v>1550</v>
      </c>
      <c r="AC312" s="300" t="s">
        <v>258</v>
      </c>
      <c r="AD312" s="299">
        <v>755</v>
      </c>
      <c r="AE312" s="299">
        <v>60</v>
      </c>
      <c r="AF312" s="294" t="s">
        <v>385</v>
      </c>
      <c r="AG312" s="294" t="s">
        <v>407</v>
      </c>
      <c r="AH312" s="294" t="s">
        <v>400</v>
      </c>
      <c r="AI312" s="301">
        <v>28518000</v>
      </c>
    </row>
    <row r="313" spans="27:35" ht="16" customHeight="1">
      <c r="AA313" s="299">
        <v>2019</v>
      </c>
      <c r="AB313" s="299">
        <v>1550</v>
      </c>
      <c r="AC313" s="300" t="s">
        <v>258</v>
      </c>
      <c r="AD313" s="299">
        <v>755</v>
      </c>
      <c r="AE313" s="299">
        <v>61</v>
      </c>
      <c r="AF313" s="294" t="s">
        <v>385</v>
      </c>
      <c r="AG313" s="294" t="s">
        <v>407</v>
      </c>
      <c r="AH313" s="294" t="s">
        <v>408</v>
      </c>
      <c r="AI313" s="301">
        <v>89738000</v>
      </c>
    </row>
    <row r="314" spans="27:35" ht="16" customHeight="1">
      <c r="AA314" s="299">
        <v>2019</v>
      </c>
      <c r="AB314" s="299">
        <v>1550</v>
      </c>
      <c r="AC314" s="300" t="s">
        <v>258</v>
      </c>
      <c r="AD314" s="299">
        <v>755</v>
      </c>
      <c r="AE314" s="299">
        <v>62</v>
      </c>
      <c r="AF314" s="294" t="s">
        <v>385</v>
      </c>
      <c r="AG314" s="294" t="s">
        <v>407</v>
      </c>
      <c r="AH314" s="294" t="s">
        <v>409</v>
      </c>
      <c r="AI314" s="301">
        <v>288097000</v>
      </c>
    </row>
    <row r="315" spans="27:35" ht="16" customHeight="1">
      <c r="AA315" s="299">
        <v>2019</v>
      </c>
      <c r="AB315" s="299">
        <v>1550</v>
      </c>
      <c r="AC315" s="300" t="s">
        <v>258</v>
      </c>
      <c r="AD315" s="299">
        <v>755</v>
      </c>
      <c r="AE315" s="299">
        <v>63</v>
      </c>
      <c r="AF315" s="294" t="s">
        <v>385</v>
      </c>
      <c r="AG315" s="294" t="s">
        <v>410</v>
      </c>
      <c r="AH315" s="294" t="s">
        <v>402</v>
      </c>
      <c r="AI315" s="301">
        <v>6249000</v>
      </c>
    </row>
    <row r="316" spans="27:35" ht="16" customHeight="1">
      <c r="AA316" s="299">
        <v>2019</v>
      </c>
      <c r="AB316" s="299">
        <v>1550</v>
      </c>
      <c r="AC316" s="300" t="s">
        <v>258</v>
      </c>
      <c r="AD316" s="299">
        <v>755</v>
      </c>
      <c r="AE316" s="299">
        <v>64</v>
      </c>
      <c r="AF316" s="294" t="s">
        <v>385</v>
      </c>
      <c r="AG316" s="294" t="s">
        <v>410</v>
      </c>
      <c r="AH316" s="294" t="s">
        <v>411</v>
      </c>
      <c r="AI316" s="301">
        <v>1716638000</v>
      </c>
    </row>
    <row r="317" spans="27:35" ht="16" customHeight="1">
      <c r="AA317" s="299">
        <v>2019</v>
      </c>
      <c r="AB317" s="299">
        <v>1550</v>
      </c>
      <c r="AC317" s="300" t="s">
        <v>258</v>
      </c>
      <c r="AD317" s="299">
        <v>755</v>
      </c>
      <c r="AE317" s="299">
        <v>65</v>
      </c>
      <c r="AF317" s="294" t="s">
        <v>385</v>
      </c>
      <c r="AG317" s="294" t="s">
        <v>412</v>
      </c>
      <c r="AH317" s="294" t="s">
        <v>387</v>
      </c>
      <c r="AI317" s="301">
        <v>0</v>
      </c>
    </row>
    <row r="318" spans="27:35" ht="16" customHeight="1">
      <c r="AA318" s="299">
        <v>2019</v>
      </c>
      <c r="AB318" s="299">
        <v>1550</v>
      </c>
      <c r="AC318" s="300" t="s">
        <v>258</v>
      </c>
      <c r="AD318" s="299">
        <v>755</v>
      </c>
      <c r="AE318" s="299">
        <v>66</v>
      </c>
      <c r="AF318" s="294" t="s">
        <v>385</v>
      </c>
      <c r="AG318" s="294" t="s">
        <v>412</v>
      </c>
      <c r="AH318" s="294" t="s">
        <v>388</v>
      </c>
      <c r="AI318" s="301">
        <v>6079000</v>
      </c>
    </row>
    <row r="319" spans="27:35" ht="16" customHeight="1">
      <c r="AA319" s="299">
        <v>2019</v>
      </c>
      <c r="AB319" s="299">
        <v>1550</v>
      </c>
      <c r="AC319" s="300" t="s">
        <v>258</v>
      </c>
      <c r="AD319" s="299">
        <v>755</v>
      </c>
      <c r="AE319" s="299">
        <v>67</v>
      </c>
      <c r="AF319" s="294" t="s">
        <v>385</v>
      </c>
      <c r="AG319" s="294" t="s">
        <v>412</v>
      </c>
      <c r="AH319" s="294" t="s">
        <v>389</v>
      </c>
      <c r="AI319" s="301">
        <v>34605000</v>
      </c>
    </row>
    <row r="320" spans="27:35" ht="16" customHeight="1">
      <c r="AA320" s="299">
        <v>2019</v>
      </c>
      <c r="AB320" s="299">
        <v>1550</v>
      </c>
      <c r="AC320" s="300" t="s">
        <v>258</v>
      </c>
      <c r="AD320" s="299">
        <v>755</v>
      </c>
      <c r="AE320" s="299">
        <v>68</v>
      </c>
      <c r="AF320" s="294" t="s">
        <v>385</v>
      </c>
      <c r="AG320" s="294" t="s">
        <v>412</v>
      </c>
      <c r="AH320" s="294" t="s">
        <v>390</v>
      </c>
      <c r="AI320" s="301">
        <v>64969000</v>
      </c>
    </row>
    <row r="321" spans="27:35" ht="16" customHeight="1">
      <c r="AA321" s="299">
        <v>2019</v>
      </c>
      <c r="AB321" s="299">
        <v>1550</v>
      </c>
      <c r="AC321" s="300" t="s">
        <v>258</v>
      </c>
      <c r="AD321" s="299">
        <v>755</v>
      </c>
      <c r="AE321" s="299">
        <v>69</v>
      </c>
      <c r="AF321" s="294" t="s">
        <v>385</v>
      </c>
      <c r="AG321" s="294" t="s">
        <v>412</v>
      </c>
      <c r="AH321" s="294" t="s">
        <v>391</v>
      </c>
      <c r="AI321" s="301">
        <v>15516000</v>
      </c>
    </row>
    <row r="322" spans="27:35" ht="16" customHeight="1">
      <c r="AA322" s="299">
        <v>2019</v>
      </c>
      <c r="AB322" s="299">
        <v>1550</v>
      </c>
      <c r="AC322" s="300" t="s">
        <v>258</v>
      </c>
      <c r="AD322" s="299">
        <v>755</v>
      </c>
      <c r="AE322" s="299">
        <v>70</v>
      </c>
      <c r="AF322" s="294" t="s">
        <v>385</v>
      </c>
      <c r="AG322" s="294" t="s">
        <v>412</v>
      </c>
      <c r="AH322" s="294" t="s">
        <v>392</v>
      </c>
      <c r="AI322" s="301">
        <v>357629000</v>
      </c>
    </row>
    <row r="323" spans="27:35" ht="16" customHeight="1">
      <c r="AA323" s="299">
        <v>2019</v>
      </c>
      <c r="AB323" s="299">
        <v>1550</v>
      </c>
      <c r="AC323" s="300" t="s">
        <v>258</v>
      </c>
      <c r="AD323" s="299">
        <v>755</v>
      </c>
      <c r="AE323" s="299">
        <v>71</v>
      </c>
      <c r="AF323" s="294" t="s">
        <v>385</v>
      </c>
      <c r="AG323" s="294" t="s">
        <v>412</v>
      </c>
      <c r="AH323" s="294" t="s">
        <v>393</v>
      </c>
      <c r="AI323" s="301">
        <v>22700000</v>
      </c>
    </row>
    <row r="324" spans="27:35" ht="16" customHeight="1">
      <c r="AA324" s="299">
        <v>2019</v>
      </c>
      <c r="AB324" s="299">
        <v>1550</v>
      </c>
      <c r="AC324" s="300" t="s">
        <v>258</v>
      </c>
      <c r="AD324" s="299">
        <v>755</v>
      </c>
      <c r="AE324" s="299">
        <v>72</v>
      </c>
      <c r="AF324" s="294" t="s">
        <v>385</v>
      </c>
      <c r="AG324" s="294" t="s">
        <v>412</v>
      </c>
      <c r="AH324" s="294" t="s">
        <v>394</v>
      </c>
      <c r="AI324" s="301">
        <v>99711000</v>
      </c>
    </row>
    <row r="325" spans="27:35" ht="16" customHeight="1">
      <c r="AA325" s="299">
        <v>2019</v>
      </c>
      <c r="AB325" s="299">
        <v>1550</v>
      </c>
      <c r="AC325" s="300" t="s">
        <v>258</v>
      </c>
      <c r="AD325" s="299">
        <v>755</v>
      </c>
      <c r="AE325" s="299">
        <v>73</v>
      </c>
      <c r="AF325" s="294" t="s">
        <v>385</v>
      </c>
      <c r="AG325" s="294" t="s">
        <v>412</v>
      </c>
      <c r="AH325" s="294" t="s">
        <v>395</v>
      </c>
      <c r="AI325" s="301">
        <v>2373000</v>
      </c>
    </row>
    <row r="326" spans="27:35" ht="16" customHeight="1">
      <c r="AA326" s="299">
        <v>2019</v>
      </c>
      <c r="AB326" s="299">
        <v>1550</v>
      </c>
      <c r="AC326" s="300" t="s">
        <v>258</v>
      </c>
      <c r="AD326" s="299">
        <v>755</v>
      </c>
      <c r="AE326" s="299">
        <v>74</v>
      </c>
      <c r="AF326" s="294" t="s">
        <v>385</v>
      </c>
      <c r="AG326" s="294" t="s">
        <v>412</v>
      </c>
      <c r="AH326" s="294" t="s">
        <v>396</v>
      </c>
      <c r="AI326" s="301">
        <v>562000</v>
      </c>
    </row>
    <row r="327" spans="27:35" ht="16" customHeight="1">
      <c r="AA327" s="299">
        <v>2019</v>
      </c>
      <c r="AB327" s="299">
        <v>1550</v>
      </c>
      <c r="AC327" s="300" t="s">
        <v>258</v>
      </c>
      <c r="AD327" s="299">
        <v>755</v>
      </c>
      <c r="AE327" s="299">
        <v>75</v>
      </c>
      <c r="AF327" s="294" t="s">
        <v>385</v>
      </c>
      <c r="AG327" s="294" t="s">
        <v>412</v>
      </c>
      <c r="AH327" s="294" t="s">
        <v>397</v>
      </c>
      <c r="AI327" s="301">
        <v>46602000</v>
      </c>
    </row>
    <row r="328" spans="27:35" ht="16" customHeight="1">
      <c r="AA328" s="299">
        <v>2019</v>
      </c>
      <c r="AB328" s="299">
        <v>1550</v>
      </c>
      <c r="AC328" s="300" t="s">
        <v>258</v>
      </c>
      <c r="AD328" s="299">
        <v>755</v>
      </c>
      <c r="AE328" s="299">
        <v>76</v>
      </c>
      <c r="AF328" s="294" t="s">
        <v>385</v>
      </c>
      <c r="AG328" s="294" t="s">
        <v>412</v>
      </c>
      <c r="AH328" s="294" t="s">
        <v>398</v>
      </c>
      <c r="AI328" s="301">
        <v>134929000</v>
      </c>
    </row>
    <row r="329" spans="27:35" ht="16" customHeight="1">
      <c r="AA329" s="299">
        <v>2019</v>
      </c>
      <c r="AB329" s="299">
        <v>1550</v>
      </c>
      <c r="AC329" s="300" t="s">
        <v>258</v>
      </c>
      <c r="AD329" s="299">
        <v>755</v>
      </c>
      <c r="AE329" s="299">
        <v>77</v>
      </c>
      <c r="AF329" s="294" t="s">
        <v>385</v>
      </c>
      <c r="AG329" s="294" t="s">
        <v>412</v>
      </c>
      <c r="AH329" s="294" t="s">
        <v>399</v>
      </c>
      <c r="AI329" s="301">
        <v>396000</v>
      </c>
    </row>
    <row r="330" spans="27:35" ht="16" customHeight="1">
      <c r="AA330" s="299">
        <v>2019</v>
      </c>
      <c r="AB330" s="299">
        <v>1550</v>
      </c>
      <c r="AC330" s="300" t="s">
        <v>258</v>
      </c>
      <c r="AD330" s="299">
        <v>755</v>
      </c>
      <c r="AE330" s="299">
        <v>78</v>
      </c>
      <c r="AF330" s="294" t="s">
        <v>385</v>
      </c>
      <c r="AG330" s="294" t="s">
        <v>412</v>
      </c>
      <c r="AH330" s="294" t="s">
        <v>400</v>
      </c>
      <c r="AI330" s="301">
        <v>30749000</v>
      </c>
    </row>
    <row r="331" spans="27:35" ht="16" customHeight="1">
      <c r="AA331" s="299">
        <v>2019</v>
      </c>
      <c r="AB331" s="299">
        <v>1550</v>
      </c>
      <c r="AC331" s="300" t="s">
        <v>258</v>
      </c>
      <c r="AD331" s="299">
        <v>755</v>
      </c>
      <c r="AE331" s="299">
        <v>79</v>
      </c>
      <c r="AF331" s="294" t="s">
        <v>385</v>
      </c>
      <c r="AG331" s="294" t="s">
        <v>412</v>
      </c>
      <c r="AH331" s="294" t="s">
        <v>408</v>
      </c>
      <c r="AI331" s="301">
        <v>95803000</v>
      </c>
    </row>
    <row r="332" spans="27:35" ht="16" customHeight="1">
      <c r="AA332" s="299">
        <v>2019</v>
      </c>
      <c r="AB332" s="299">
        <v>1550</v>
      </c>
      <c r="AC332" s="300" t="s">
        <v>258</v>
      </c>
      <c r="AD332" s="299">
        <v>755</v>
      </c>
      <c r="AE332" s="299">
        <v>80</v>
      </c>
      <c r="AF332" s="294" t="s">
        <v>385</v>
      </c>
      <c r="AG332" s="294" t="s">
        <v>412</v>
      </c>
      <c r="AH332" s="294" t="s">
        <v>409</v>
      </c>
      <c r="AI332" s="301">
        <v>301147000</v>
      </c>
    </row>
    <row r="333" spans="27:35" ht="16" customHeight="1">
      <c r="AA333" s="299">
        <v>2019</v>
      </c>
      <c r="AB333" s="299">
        <v>1550</v>
      </c>
      <c r="AC333" s="300" t="s">
        <v>258</v>
      </c>
      <c r="AD333" s="299">
        <v>755</v>
      </c>
      <c r="AE333" s="299">
        <v>81</v>
      </c>
      <c r="AF333" s="294" t="s">
        <v>385</v>
      </c>
      <c r="AG333" s="294" t="s">
        <v>413</v>
      </c>
      <c r="AH333" s="294" t="s">
        <v>402</v>
      </c>
      <c r="AI333" s="301">
        <v>6523000</v>
      </c>
    </row>
    <row r="334" spans="27:35" ht="16" customHeight="1">
      <c r="AA334" s="299">
        <v>2019</v>
      </c>
      <c r="AB334" s="299">
        <v>1550</v>
      </c>
      <c r="AC334" s="300" t="s">
        <v>258</v>
      </c>
      <c r="AD334" s="299">
        <v>755</v>
      </c>
      <c r="AE334" s="299">
        <v>82</v>
      </c>
      <c r="AF334" s="294" t="s">
        <v>385</v>
      </c>
      <c r="AG334" s="294" t="s">
        <v>413</v>
      </c>
      <c r="AH334" s="294" t="s">
        <v>414</v>
      </c>
      <c r="AI334" s="301">
        <v>1220293000</v>
      </c>
    </row>
    <row r="335" spans="27:35" ht="16" customHeight="1">
      <c r="AA335" s="299">
        <v>2019</v>
      </c>
      <c r="AB335" s="299">
        <v>1550</v>
      </c>
      <c r="AC335" s="300" t="s">
        <v>258</v>
      </c>
      <c r="AD335" s="299">
        <v>755</v>
      </c>
      <c r="AE335" s="299">
        <v>83</v>
      </c>
      <c r="AF335" s="294" t="s">
        <v>377</v>
      </c>
      <c r="AG335" s="294" t="s">
        <v>378</v>
      </c>
      <c r="AH335" s="294" t="s">
        <v>415</v>
      </c>
      <c r="AI335" s="301">
        <v>45055000</v>
      </c>
    </row>
    <row r="336" spans="27:35" ht="16" customHeight="1">
      <c r="AA336" s="299">
        <v>2019</v>
      </c>
      <c r="AB336" s="299">
        <v>1550</v>
      </c>
      <c r="AC336" s="300" t="s">
        <v>258</v>
      </c>
      <c r="AD336" s="299">
        <v>755</v>
      </c>
      <c r="AE336" s="299">
        <v>84</v>
      </c>
      <c r="AF336" s="294" t="s">
        <v>377</v>
      </c>
      <c r="AG336" s="294" t="s">
        <v>378</v>
      </c>
      <c r="AH336" s="294" t="s">
        <v>416</v>
      </c>
      <c r="AI336" s="301">
        <v>0</v>
      </c>
    </row>
    <row r="337" spans="27:35" ht="16" customHeight="1">
      <c r="AA337" s="299">
        <v>2019</v>
      </c>
      <c r="AB337" s="299">
        <v>1550</v>
      </c>
      <c r="AC337" s="300" t="s">
        <v>258</v>
      </c>
      <c r="AD337" s="299">
        <v>755</v>
      </c>
      <c r="AE337" s="299">
        <v>85</v>
      </c>
      <c r="AF337" s="294" t="s">
        <v>339</v>
      </c>
      <c r="AG337" s="294" t="s">
        <v>340</v>
      </c>
      <c r="AH337" s="294" t="s">
        <v>322</v>
      </c>
      <c r="AI337" s="301">
        <v>1032120000</v>
      </c>
    </row>
    <row r="338" spans="27:35" ht="16" customHeight="1">
      <c r="AA338" s="299">
        <v>2019</v>
      </c>
      <c r="AB338" s="299">
        <v>1550</v>
      </c>
      <c r="AC338" s="300" t="s">
        <v>258</v>
      </c>
      <c r="AD338" s="299">
        <v>755</v>
      </c>
      <c r="AE338" s="299">
        <v>86</v>
      </c>
      <c r="AF338" s="294" t="s">
        <v>339</v>
      </c>
      <c r="AG338" s="294" t="s">
        <v>340</v>
      </c>
      <c r="AH338" s="294" t="s">
        <v>323</v>
      </c>
      <c r="AI338" s="301">
        <v>208364000</v>
      </c>
    </row>
    <row r="339" spans="27:35" ht="16" customHeight="1">
      <c r="AA339" s="299">
        <v>2019</v>
      </c>
      <c r="AB339" s="299">
        <v>1550</v>
      </c>
      <c r="AC339" s="300" t="s">
        <v>258</v>
      </c>
      <c r="AD339" s="299">
        <v>755</v>
      </c>
      <c r="AE339" s="299">
        <v>87</v>
      </c>
      <c r="AF339" s="294" t="s">
        <v>339</v>
      </c>
      <c r="AG339" s="294" t="s">
        <v>341</v>
      </c>
      <c r="AH339" s="294" t="s">
        <v>325</v>
      </c>
      <c r="AI339" s="301">
        <v>3016867000</v>
      </c>
    </row>
    <row r="340" spans="27:35" ht="16" customHeight="1">
      <c r="AA340" s="299">
        <v>2019</v>
      </c>
      <c r="AB340" s="299">
        <v>1550</v>
      </c>
      <c r="AC340" s="300" t="s">
        <v>258</v>
      </c>
      <c r="AD340" s="299">
        <v>755</v>
      </c>
      <c r="AE340" s="299">
        <v>88</v>
      </c>
      <c r="AF340" s="294" t="s">
        <v>339</v>
      </c>
      <c r="AG340" s="294" t="s">
        <v>341</v>
      </c>
      <c r="AH340" s="294" t="s">
        <v>342</v>
      </c>
      <c r="AI340" s="301">
        <v>4257351000</v>
      </c>
    </row>
    <row r="341" spans="27:35" ht="16" customHeight="1">
      <c r="AA341" s="299">
        <v>2019</v>
      </c>
      <c r="AB341" s="299">
        <v>1550</v>
      </c>
      <c r="AC341" s="300" t="s">
        <v>258</v>
      </c>
      <c r="AD341" s="299">
        <v>755</v>
      </c>
      <c r="AE341" s="299">
        <v>89</v>
      </c>
      <c r="AF341" s="294" t="s">
        <v>377</v>
      </c>
      <c r="AG341" s="294" t="s">
        <v>378</v>
      </c>
      <c r="AH341" s="294" t="s">
        <v>379</v>
      </c>
      <c r="AI341" s="301">
        <v>1809000</v>
      </c>
    </row>
    <row r="342" spans="27:35" ht="16" customHeight="1">
      <c r="AA342" s="299">
        <v>2019</v>
      </c>
      <c r="AB342" s="299">
        <v>1550</v>
      </c>
      <c r="AC342" s="300" t="s">
        <v>258</v>
      </c>
      <c r="AD342" s="299">
        <v>755</v>
      </c>
      <c r="AE342" s="299">
        <v>98</v>
      </c>
      <c r="AF342" s="294" t="s">
        <v>343</v>
      </c>
      <c r="AG342" s="294" t="s">
        <v>380</v>
      </c>
      <c r="AH342" s="294" t="s">
        <v>381</v>
      </c>
      <c r="AI342" s="301">
        <v>30429239000</v>
      </c>
    </row>
    <row r="343" spans="27:35" ht="16" customHeight="1">
      <c r="AA343" s="299">
        <v>2019</v>
      </c>
      <c r="AB343" s="299">
        <v>1550</v>
      </c>
      <c r="AC343" s="300" t="s">
        <v>258</v>
      </c>
      <c r="AD343" s="299">
        <v>755</v>
      </c>
      <c r="AE343" s="299">
        <v>99</v>
      </c>
      <c r="AF343" s="294" t="s">
        <v>343</v>
      </c>
      <c r="AG343" s="294" t="s">
        <v>344</v>
      </c>
      <c r="AH343" s="294" t="s">
        <v>322</v>
      </c>
      <c r="AI343" s="301">
        <v>86804947000</v>
      </c>
    </row>
    <row r="344" spans="27:35" ht="16" customHeight="1">
      <c r="AA344" s="299">
        <v>2019</v>
      </c>
      <c r="AB344" s="299">
        <v>1550</v>
      </c>
      <c r="AC344" s="300" t="s">
        <v>258</v>
      </c>
      <c r="AD344" s="299">
        <v>755</v>
      </c>
      <c r="AE344" s="299">
        <v>100</v>
      </c>
      <c r="AF344" s="294" t="s">
        <v>343</v>
      </c>
      <c r="AG344" s="294" t="s">
        <v>344</v>
      </c>
      <c r="AH344" s="294" t="s">
        <v>323</v>
      </c>
      <c r="AI344" s="301">
        <v>16417573000</v>
      </c>
    </row>
    <row r="345" spans="27:35" ht="16" customHeight="1">
      <c r="AA345" s="299">
        <v>2019</v>
      </c>
      <c r="AB345" s="299">
        <v>1550</v>
      </c>
      <c r="AC345" s="300" t="s">
        <v>258</v>
      </c>
      <c r="AD345" s="299">
        <v>755</v>
      </c>
      <c r="AE345" s="299">
        <v>101</v>
      </c>
      <c r="AF345" s="294" t="s">
        <v>343</v>
      </c>
      <c r="AG345" s="294" t="s">
        <v>344</v>
      </c>
      <c r="AH345" s="294" t="s">
        <v>325</v>
      </c>
      <c r="AI345" s="301">
        <v>266685512000</v>
      </c>
    </row>
    <row r="346" spans="27:35" ht="16" customHeight="1">
      <c r="AA346" s="299">
        <v>2019</v>
      </c>
      <c r="AB346" s="299">
        <v>1550</v>
      </c>
      <c r="AC346" s="300" t="s">
        <v>258</v>
      </c>
      <c r="AD346" s="299">
        <v>755</v>
      </c>
      <c r="AE346" s="299">
        <v>102</v>
      </c>
      <c r="AF346" s="294" t="s">
        <v>343</v>
      </c>
      <c r="AG346" s="294" t="s">
        <v>345</v>
      </c>
      <c r="AH346" s="294" t="s">
        <v>346</v>
      </c>
      <c r="AI346" s="301">
        <v>0</v>
      </c>
    </row>
    <row r="347" spans="27:35" ht="16" customHeight="1">
      <c r="AA347" s="299">
        <v>2019</v>
      </c>
      <c r="AB347" s="299">
        <v>1550</v>
      </c>
      <c r="AC347" s="300" t="s">
        <v>258</v>
      </c>
      <c r="AD347" s="299">
        <v>755</v>
      </c>
      <c r="AE347" s="299">
        <v>103</v>
      </c>
      <c r="AF347" s="294" t="s">
        <v>343</v>
      </c>
      <c r="AG347" s="294" t="s">
        <v>347</v>
      </c>
      <c r="AH347" s="294" t="s">
        <v>348</v>
      </c>
      <c r="AI347" s="301">
        <v>2810057000</v>
      </c>
    </row>
    <row r="348" spans="27:35" ht="16" customHeight="1">
      <c r="AA348" s="299">
        <v>2019</v>
      </c>
      <c r="AB348" s="299">
        <v>1550</v>
      </c>
      <c r="AC348" s="300" t="s">
        <v>258</v>
      </c>
      <c r="AD348" s="299">
        <v>755</v>
      </c>
      <c r="AE348" s="299">
        <v>104</v>
      </c>
      <c r="AF348" s="294" t="s">
        <v>343</v>
      </c>
      <c r="AG348" s="294" t="s">
        <v>349</v>
      </c>
      <c r="AH348" s="294" t="s">
        <v>350</v>
      </c>
      <c r="AI348" s="301">
        <v>403147328000</v>
      </c>
    </row>
    <row r="349" spans="27:35" ht="16" customHeight="1">
      <c r="AA349" s="299">
        <v>2019</v>
      </c>
      <c r="AB349" s="299">
        <v>1550</v>
      </c>
      <c r="AC349" s="300" t="s">
        <v>258</v>
      </c>
      <c r="AD349" s="299">
        <v>755</v>
      </c>
      <c r="AE349" s="299">
        <v>105</v>
      </c>
      <c r="AF349" s="294" t="s">
        <v>351</v>
      </c>
      <c r="AG349" s="294" t="s">
        <v>352</v>
      </c>
      <c r="AH349" s="294" t="s">
        <v>353</v>
      </c>
      <c r="AI349" s="301">
        <v>358686000</v>
      </c>
    </row>
    <row r="350" spans="27:35" ht="16" customHeight="1">
      <c r="AA350" s="299">
        <v>2019</v>
      </c>
      <c r="AB350" s="299">
        <v>1550</v>
      </c>
      <c r="AC350" s="300" t="s">
        <v>258</v>
      </c>
      <c r="AD350" s="299">
        <v>755</v>
      </c>
      <c r="AE350" s="299">
        <v>106</v>
      </c>
      <c r="AF350" s="294" t="s">
        <v>351</v>
      </c>
      <c r="AG350" s="294" t="s">
        <v>354</v>
      </c>
      <c r="AH350" s="294" t="s">
        <v>355</v>
      </c>
      <c r="AI350" s="301">
        <v>1243000</v>
      </c>
    </row>
    <row r="351" spans="27:35" ht="16" customHeight="1">
      <c r="AA351" s="299">
        <v>2019</v>
      </c>
      <c r="AB351" s="299">
        <v>1550</v>
      </c>
      <c r="AC351" s="300" t="s">
        <v>258</v>
      </c>
      <c r="AD351" s="299">
        <v>755</v>
      </c>
      <c r="AE351" s="299">
        <v>107</v>
      </c>
      <c r="AF351" s="294" t="s">
        <v>351</v>
      </c>
      <c r="AG351" s="294" t="s">
        <v>356</v>
      </c>
      <c r="AH351" s="294" t="s">
        <v>357</v>
      </c>
      <c r="AI351" s="301">
        <v>359929000</v>
      </c>
    </row>
    <row r="352" spans="27:35" ht="16" customHeight="1">
      <c r="AA352" s="299">
        <v>2019</v>
      </c>
      <c r="AB352" s="299">
        <v>1550</v>
      </c>
      <c r="AC352" s="300" t="s">
        <v>258</v>
      </c>
      <c r="AD352" s="299">
        <v>755</v>
      </c>
      <c r="AE352" s="299">
        <v>108</v>
      </c>
      <c r="AF352" s="294" t="s">
        <v>358</v>
      </c>
      <c r="AG352" s="294" t="s">
        <v>359</v>
      </c>
      <c r="AH352" s="294" t="s">
        <v>360</v>
      </c>
      <c r="AI352" s="301">
        <v>194044925000</v>
      </c>
    </row>
    <row r="353" spans="27:35" ht="16" customHeight="1">
      <c r="AA353" s="299">
        <v>2019</v>
      </c>
      <c r="AB353" s="299">
        <v>1550</v>
      </c>
      <c r="AC353" s="300" t="s">
        <v>258</v>
      </c>
      <c r="AD353" s="299">
        <v>755</v>
      </c>
      <c r="AE353" s="299">
        <v>109</v>
      </c>
      <c r="AF353" s="294" t="s">
        <v>358</v>
      </c>
      <c r="AG353" s="294" t="s">
        <v>359</v>
      </c>
      <c r="AH353" s="294" t="s">
        <v>361</v>
      </c>
      <c r="AI353" s="301">
        <v>0</v>
      </c>
    </row>
    <row r="354" spans="27:35" ht="16" customHeight="1">
      <c r="AA354" s="299">
        <v>2019</v>
      </c>
      <c r="AB354" s="299">
        <v>1550</v>
      </c>
      <c r="AC354" s="300" t="s">
        <v>258</v>
      </c>
      <c r="AD354" s="299">
        <v>755</v>
      </c>
      <c r="AE354" s="299">
        <v>110</v>
      </c>
      <c r="AF354" s="294" t="s">
        <v>358</v>
      </c>
      <c r="AG354" s="294" t="s">
        <v>359</v>
      </c>
      <c r="AH354" s="294" t="s">
        <v>362</v>
      </c>
      <c r="AI354" s="301">
        <v>194044925000</v>
      </c>
    </row>
    <row r="355" spans="27:35" ht="16" customHeight="1">
      <c r="AA355" s="299">
        <v>2019</v>
      </c>
      <c r="AB355" s="299">
        <v>1550</v>
      </c>
      <c r="AC355" s="300" t="s">
        <v>258</v>
      </c>
      <c r="AD355" s="299">
        <v>755</v>
      </c>
      <c r="AE355" s="299">
        <v>111</v>
      </c>
      <c r="AF355" s="294" t="s">
        <v>358</v>
      </c>
      <c r="AG355" s="294" t="s">
        <v>363</v>
      </c>
      <c r="AH355" s="294" t="s">
        <v>364</v>
      </c>
      <c r="AI355" s="301">
        <v>459430000</v>
      </c>
    </row>
    <row r="356" spans="27:35" ht="16" customHeight="1">
      <c r="AA356" s="299">
        <v>2019</v>
      </c>
      <c r="AB356" s="299">
        <v>1550</v>
      </c>
      <c r="AC356" s="300" t="s">
        <v>258</v>
      </c>
      <c r="AD356" s="299">
        <v>755</v>
      </c>
      <c r="AE356" s="299">
        <v>112</v>
      </c>
      <c r="AF356" s="294" t="s">
        <v>358</v>
      </c>
      <c r="AG356" s="294" t="s">
        <v>363</v>
      </c>
      <c r="AH356" s="294" t="s">
        <v>365</v>
      </c>
      <c r="AI356" s="301">
        <v>0</v>
      </c>
    </row>
    <row r="357" spans="27:35" ht="16" customHeight="1">
      <c r="AA357" s="299">
        <v>2019</v>
      </c>
      <c r="AB357" s="299">
        <v>1550</v>
      </c>
      <c r="AC357" s="300" t="s">
        <v>258</v>
      </c>
      <c r="AD357" s="299">
        <v>755</v>
      </c>
      <c r="AE357" s="299">
        <v>113</v>
      </c>
      <c r="AF357" s="294" t="s">
        <v>358</v>
      </c>
      <c r="AG357" s="294" t="s">
        <v>363</v>
      </c>
      <c r="AH357" s="294" t="s">
        <v>366</v>
      </c>
      <c r="AI357" s="301">
        <v>459430000</v>
      </c>
    </row>
    <row r="358" spans="27:35" ht="16" customHeight="1">
      <c r="AA358" s="299">
        <v>2019</v>
      </c>
      <c r="AB358" s="299">
        <v>1550</v>
      </c>
      <c r="AC358" s="300" t="s">
        <v>258</v>
      </c>
      <c r="AD358" s="299">
        <v>755</v>
      </c>
      <c r="AE358" s="299">
        <v>114</v>
      </c>
      <c r="AF358" s="294" t="s">
        <v>358</v>
      </c>
      <c r="AG358" s="294" t="s">
        <v>367</v>
      </c>
      <c r="AH358" s="294" t="s">
        <v>368</v>
      </c>
      <c r="AI358" s="301">
        <v>194504355000</v>
      </c>
    </row>
    <row r="359" spans="27:35" ht="16" customHeight="1">
      <c r="AA359" s="299">
        <v>2019</v>
      </c>
      <c r="AB359" s="299">
        <v>1550</v>
      </c>
      <c r="AC359" s="300" t="s">
        <v>258</v>
      </c>
      <c r="AD359" s="299">
        <v>755</v>
      </c>
      <c r="AE359" s="299">
        <v>115</v>
      </c>
      <c r="AF359" s="294" t="s">
        <v>369</v>
      </c>
      <c r="AG359" s="294" t="s">
        <v>370</v>
      </c>
      <c r="AH359" s="294" t="s">
        <v>371</v>
      </c>
      <c r="AI359" s="301">
        <v>3698825</v>
      </c>
    </row>
    <row r="360" spans="27:35" ht="16" customHeight="1">
      <c r="AA360" s="299">
        <v>2019</v>
      </c>
      <c r="AB360" s="299">
        <v>1550</v>
      </c>
      <c r="AC360" s="300" t="s">
        <v>258</v>
      </c>
      <c r="AD360" s="299">
        <v>755</v>
      </c>
      <c r="AE360" s="299">
        <v>116</v>
      </c>
      <c r="AF360" s="294" t="s">
        <v>369</v>
      </c>
      <c r="AG360" s="294" t="s">
        <v>372</v>
      </c>
      <c r="AH360" s="294" t="s">
        <v>373</v>
      </c>
      <c r="AI360" s="301">
        <v>573744</v>
      </c>
    </row>
    <row r="361" spans="27:35" ht="16" customHeight="1">
      <c r="AA361" s="299">
        <v>2019</v>
      </c>
      <c r="AB361" s="299">
        <v>1550</v>
      </c>
      <c r="AC361" s="300" t="s">
        <v>258</v>
      </c>
      <c r="AD361" s="299">
        <v>755</v>
      </c>
      <c r="AE361" s="299">
        <v>117</v>
      </c>
      <c r="AF361" s="294" t="s">
        <v>374</v>
      </c>
      <c r="AG361" s="294" t="s">
        <v>375</v>
      </c>
      <c r="AH361" s="294" t="s">
        <v>376</v>
      </c>
      <c r="AI361" s="301">
        <v>1913957</v>
      </c>
    </row>
    <row r="362" spans="27:35" ht="16" customHeight="1">
      <c r="AA362" s="299">
        <v>2019</v>
      </c>
      <c r="AB362" s="299">
        <v>1550</v>
      </c>
      <c r="AC362" s="300" t="s">
        <v>258</v>
      </c>
      <c r="AD362" s="299">
        <v>755</v>
      </c>
      <c r="AE362" s="299">
        <v>118</v>
      </c>
      <c r="AF362" s="294" t="s">
        <v>417</v>
      </c>
      <c r="AG362" s="294" t="s">
        <v>418</v>
      </c>
      <c r="AH362" s="294" t="s">
        <v>419</v>
      </c>
      <c r="AI362" s="301">
        <v>566309</v>
      </c>
    </row>
    <row r="363" spans="27:35" ht="16" customHeight="1">
      <c r="AA363" s="299">
        <v>2019</v>
      </c>
      <c r="AB363" s="299">
        <v>1550</v>
      </c>
      <c r="AC363" s="300" t="s">
        <v>258</v>
      </c>
      <c r="AD363" s="299">
        <v>755</v>
      </c>
      <c r="AE363" s="299">
        <v>119</v>
      </c>
      <c r="AF363" s="294" t="s">
        <v>417</v>
      </c>
      <c r="AG363" s="294" t="s">
        <v>418</v>
      </c>
      <c r="AH363" s="294" t="s">
        <v>420</v>
      </c>
      <c r="AI363" s="301">
        <v>0</v>
      </c>
    </row>
    <row r="364" spans="27:35" ht="16" customHeight="1">
      <c r="AA364" s="299">
        <v>2019</v>
      </c>
      <c r="AB364" s="299">
        <v>1550</v>
      </c>
      <c r="AC364" s="300" t="s">
        <v>258</v>
      </c>
      <c r="AD364" s="299">
        <v>755</v>
      </c>
      <c r="AE364" s="299">
        <v>120</v>
      </c>
      <c r="AF364" s="294" t="s">
        <v>421</v>
      </c>
      <c r="AG364" s="294" t="s">
        <v>422</v>
      </c>
      <c r="AH364" s="294" t="s">
        <v>322</v>
      </c>
      <c r="AI364" s="301">
        <v>1543300</v>
      </c>
    </row>
    <row r="365" spans="27:35" ht="16" customHeight="1">
      <c r="AA365" s="299">
        <v>2019</v>
      </c>
      <c r="AB365" s="299">
        <v>1550</v>
      </c>
      <c r="AC365" s="300" t="s">
        <v>258</v>
      </c>
      <c r="AD365" s="299">
        <v>755</v>
      </c>
      <c r="AE365" s="299">
        <v>121</v>
      </c>
      <c r="AF365" s="294" t="s">
        <v>421</v>
      </c>
      <c r="AG365" s="294" t="s">
        <v>422</v>
      </c>
      <c r="AH365" s="294" t="s">
        <v>323</v>
      </c>
      <c r="AI365" s="301">
        <v>3863538</v>
      </c>
    </row>
    <row r="366" spans="27:35" ht="16" customHeight="1">
      <c r="AA366" s="299">
        <v>2019</v>
      </c>
      <c r="AB366" s="299">
        <v>1550</v>
      </c>
      <c r="AC366" s="300" t="s">
        <v>258</v>
      </c>
      <c r="AD366" s="299">
        <v>755</v>
      </c>
      <c r="AE366" s="299">
        <v>122</v>
      </c>
      <c r="AF366" s="294" t="s">
        <v>421</v>
      </c>
      <c r="AG366" s="294" t="s">
        <v>422</v>
      </c>
      <c r="AH366" s="294" t="s">
        <v>325</v>
      </c>
      <c r="AI366" s="301">
        <v>5964438</v>
      </c>
    </row>
    <row r="367" spans="27:35" ht="16" customHeight="1">
      <c r="AA367" s="299">
        <v>2019</v>
      </c>
      <c r="AB367" s="299">
        <v>1550</v>
      </c>
      <c r="AC367" s="300" t="s">
        <v>258</v>
      </c>
      <c r="AD367" s="299">
        <v>755</v>
      </c>
      <c r="AE367" s="299">
        <v>123</v>
      </c>
      <c r="AF367" s="294" t="s">
        <v>423</v>
      </c>
      <c r="AG367" s="294" t="s">
        <v>424</v>
      </c>
      <c r="AH367" s="294" t="s">
        <v>425</v>
      </c>
      <c r="AI367" s="301">
        <v>7500395</v>
      </c>
    </row>
    <row r="368" spans="27:35" ht="16" customHeight="1">
      <c r="AA368" s="299">
        <v>2019</v>
      </c>
      <c r="AB368" s="299">
        <v>1550</v>
      </c>
      <c r="AC368" s="300" t="s">
        <v>258</v>
      </c>
      <c r="AD368" s="299">
        <v>755</v>
      </c>
      <c r="AE368" s="299">
        <v>124</v>
      </c>
      <c r="AF368" s="294" t="s">
        <v>426</v>
      </c>
      <c r="AG368" s="294" t="s">
        <v>427</v>
      </c>
      <c r="AH368" s="294" t="s">
        <v>428</v>
      </c>
      <c r="AI368" s="301">
        <v>2094746</v>
      </c>
    </row>
    <row r="369" spans="27:35" ht="16" customHeight="1">
      <c r="AA369" s="299">
        <v>2019</v>
      </c>
      <c r="AB369" s="299">
        <v>1550</v>
      </c>
      <c r="AC369" s="300" t="s">
        <v>258</v>
      </c>
      <c r="AD369" s="299">
        <v>755</v>
      </c>
      <c r="AE369" s="299">
        <v>125</v>
      </c>
      <c r="AF369" s="294" t="s">
        <v>429</v>
      </c>
      <c r="AG369" s="294" t="s">
        <v>430</v>
      </c>
      <c r="AH369" s="294" t="s">
        <v>431</v>
      </c>
      <c r="AI369" s="301">
        <v>576101</v>
      </c>
    </row>
    <row r="370" spans="27:35" ht="16" customHeight="1">
      <c r="AA370" s="299">
        <v>2019</v>
      </c>
      <c r="AB370" s="299">
        <v>1550</v>
      </c>
      <c r="AC370" s="300" t="s">
        <v>258</v>
      </c>
      <c r="AD370" s="299">
        <v>755</v>
      </c>
      <c r="AE370" s="299">
        <v>126</v>
      </c>
      <c r="AF370" s="294" t="s">
        <v>432</v>
      </c>
      <c r="AG370" s="294" t="s">
        <v>433</v>
      </c>
      <c r="AH370" s="294" t="s">
        <v>434</v>
      </c>
      <c r="AI370" s="301">
        <v>19771902</v>
      </c>
    </row>
    <row r="371" spans="27:35" ht="16" customHeight="1">
      <c r="AA371" s="299">
        <v>2019</v>
      </c>
      <c r="AB371" s="299">
        <v>1550</v>
      </c>
      <c r="AC371" s="300" t="s">
        <v>258</v>
      </c>
      <c r="AD371" s="299">
        <v>755</v>
      </c>
      <c r="AE371" s="299">
        <v>127</v>
      </c>
      <c r="AF371" s="294" t="s">
        <v>432</v>
      </c>
      <c r="AG371" s="294" t="s">
        <v>433</v>
      </c>
      <c r="AH371" s="294" t="s">
        <v>435</v>
      </c>
      <c r="AI371" s="301">
        <v>0</v>
      </c>
    </row>
    <row r="372" spans="27:35" ht="16" customHeight="1">
      <c r="AA372" s="299">
        <v>2019</v>
      </c>
      <c r="AB372" s="299">
        <v>1550</v>
      </c>
      <c r="AC372" s="300" t="s">
        <v>258</v>
      </c>
      <c r="AD372" s="299">
        <v>755</v>
      </c>
      <c r="AE372" s="299">
        <v>128</v>
      </c>
      <c r="AF372" s="294" t="s">
        <v>432</v>
      </c>
      <c r="AG372" s="294" t="s">
        <v>433</v>
      </c>
      <c r="AH372" s="294" t="s">
        <v>158</v>
      </c>
      <c r="AI372" s="301">
        <v>0</v>
      </c>
    </row>
    <row r="373" spans="27:35" ht="16" customHeight="1">
      <c r="AA373" s="299">
        <v>2019</v>
      </c>
      <c r="AB373" s="299">
        <v>1550</v>
      </c>
      <c r="AC373" s="300" t="s">
        <v>258</v>
      </c>
      <c r="AD373" s="299">
        <v>755</v>
      </c>
      <c r="AE373" s="299">
        <v>129</v>
      </c>
      <c r="AF373" s="294" t="s">
        <v>432</v>
      </c>
      <c r="AG373" s="294" t="s">
        <v>433</v>
      </c>
      <c r="AH373" s="294" t="s">
        <v>436</v>
      </c>
      <c r="AI373" s="301">
        <v>19771902</v>
      </c>
    </row>
    <row r="374" spans="27:35" ht="16" customHeight="1">
      <c r="AA374" s="299">
        <v>2019</v>
      </c>
      <c r="AB374" s="299">
        <v>1550</v>
      </c>
      <c r="AC374" s="300" t="s">
        <v>258</v>
      </c>
      <c r="AD374" s="299">
        <v>755</v>
      </c>
      <c r="AE374" s="299">
        <v>130</v>
      </c>
      <c r="AF374" s="294" t="s">
        <v>437</v>
      </c>
      <c r="AG374" s="294" t="s">
        <v>438</v>
      </c>
      <c r="AH374" s="294" t="s">
        <v>439</v>
      </c>
      <c r="AI374" s="301">
        <v>23042</v>
      </c>
    </row>
    <row r="375" spans="27:35" ht="16" customHeight="1">
      <c r="AA375" s="299">
        <v>2019</v>
      </c>
      <c r="AB375" s="299">
        <v>1550</v>
      </c>
      <c r="AC375" s="300" t="s">
        <v>258</v>
      </c>
      <c r="AD375" s="299">
        <v>755</v>
      </c>
      <c r="AE375" s="299">
        <v>131</v>
      </c>
      <c r="AF375" s="294" t="s">
        <v>437</v>
      </c>
      <c r="AG375" s="294" t="s">
        <v>438</v>
      </c>
      <c r="AH375" s="294" t="s">
        <v>440</v>
      </c>
      <c r="AI375" s="301">
        <v>361</v>
      </c>
    </row>
    <row r="376" spans="27:35" ht="16" customHeight="1">
      <c r="AA376" s="299">
        <v>2019</v>
      </c>
      <c r="AB376" s="299">
        <v>1550</v>
      </c>
      <c r="AC376" s="300" t="s">
        <v>258</v>
      </c>
      <c r="AD376" s="299">
        <v>755</v>
      </c>
      <c r="AE376" s="299">
        <v>132</v>
      </c>
      <c r="AF376" s="294" t="s">
        <v>437</v>
      </c>
      <c r="AG376" s="294" t="s">
        <v>441</v>
      </c>
      <c r="AH376" s="294" t="s">
        <v>442</v>
      </c>
      <c r="AI376" s="301">
        <v>0</v>
      </c>
    </row>
    <row r="377" spans="27:35" ht="16" customHeight="1">
      <c r="AA377" s="299">
        <v>2019</v>
      </c>
      <c r="AB377" s="299">
        <v>1550</v>
      </c>
      <c r="AC377" s="300" t="s">
        <v>258</v>
      </c>
      <c r="AD377" s="299">
        <v>755</v>
      </c>
      <c r="AE377" s="299">
        <v>133</v>
      </c>
      <c r="AF377" s="294" t="s">
        <v>437</v>
      </c>
      <c r="AG377" s="294" t="s">
        <v>443</v>
      </c>
      <c r="AH377" s="294" t="s">
        <v>444</v>
      </c>
      <c r="AI377" s="301">
        <v>23403</v>
      </c>
    </row>
    <row r="378" spans="27:35" ht="16" customHeight="1">
      <c r="AA378" s="299">
        <v>2019</v>
      </c>
      <c r="AB378" s="299">
        <v>1550</v>
      </c>
      <c r="AC378" s="300" t="s">
        <v>258</v>
      </c>
      <c r="AD378" s="299">
        <v>755</v>
      </c>
      <c r="AE378" s="299">
        <v>134</v>
      </c>
      <c r="AF378" s="294" t="s">
        <v>445</v>
      </c>
      <c r="AG378" s="294" t="s">
        <v>446</v>
      </c>
      <c r="AH378" s="294" t="s">
        <v>447</v>
      </c>
      <c r="AI378" s="301">
        <v>459</v>
      </c>
    </row>
    <row r="379" spans="27:35" ht="16" customHeight="1">
      <c r="AA379" s="299">
        <v>2019</v>
      </c>
      <c r="AB379" s="299">
        <v>2670</v>
      </c>
      <c r="AC379" s="300" t="s">
        <v>257</v>
      </c>
      <c r="AD379" s="299">
        <v>755</v>
      </c>
      <c r="AE379" s="299">
        <v>1</v>
      </c>
      <c r="AF379" s="294" t="s">
        <v>382</v>
      </c>
      <c r="AG379" s="294" t="s">
        <v>383</v>
      </c>
      <c r="AH379" s="294" t="s">
        <v>384</v>
      </c>
      <c r="AI379" s="301">
        <v>20107</v>
      </c>
    </row>
    <row r="380" spans="27:35" ht="16" customHeight="1">
      <c r="AA380" s="299">
        <v>2019</v>
      </c>
      <c r="AB380" s="299">
        <v>2670</v>
      </c>
      <c r="AC380" s="300" t="s">
        <v>257</v>
      </c>
      <c r="AD380" s="299">
        <v>755</v>
      </c>
      <c r="AE380" s="299">
        <v>2</v>
      </c>
      <c r="AF380" s="294" t="s">
        <v>320</v>
      </c>
      <c r="AG380" s="294" t="s">
        <v>321</v>
      </c>
      <c r="AH380" s="294" t="s">
        <v>322</v>
      </c>
      <c r="AI380" s="301">
        <v>10902195</v>
      </c>
    </row>
    <row r="381" spans="27:35" ht="16" customHeight="1">
      <c r="AA381" s="299">
        <v>2019</v>
      </c>
      <c r="AB381" s="299">
        <v>2670</v>
      </c>
      <c r="AC381" s="300" t="s">
        <v>257</v>
      </c>
      <c r="AD381" s="299">
        <v>755</v>
      </c>
      <c r="AE381" s="299">
        <v>3</v>
      </c>
      <c r="AF381" s="294" t="s">
        <v>320</v>
      </c>
      <c r="AG381" s="294" t="s">
        <v>321</v>
      </c>
      <c r="AH381" s="294" t="s">
        <v>323</v>
      </c>
      <c r="AI381" s="301">
        <v>12863399</v>
      </c>
    </row>
    <row r="382" spans="27:35" ht="16" customHeight="1">
      <c r="AA382" s="299">
        <v>2019</v>
      </c>
      <c r="AB382" s="299">
        <v>2670</v>
      </c>
      <c r="AC382" s="300" t="s">
        <v>257</v>
      </c>
      <c r="AD382" s="299">
        <v>755</v>
      </c>
      <c r="AE382" s="299">
        <v>4</v>
      </c>
      <c r="AF382" s="294" t="s">
        <v>320</v>
      </c>
      <c r="AG382" s="294" t="s">
        <v>324</v>
      </c>
      <c r="AH382" s="294" t="s">
        <v>325</v>
      </c>
      <c r="AI382" s="301">
        <v>37905774</v>
      </c>
    </row>
    <row r="383" spans="27:35" ht="16" customHeight="1">
      <c r="AA383" s="299">
        <v>2019</v>
      </c>
      <c r="AB383" s="299">
        <v>2670</v>
      </c>
      <c r="AC383" s="300" t="s">
        <v>257</v>
      </c>
      <c r="AD383" s="299">
        <v>755</v>
      </c>
      <c r="AE383" s="299">
        <v>5</v>
      </c>
      <c r="AF383" s="294" t="s">
        <v>320</v>
      </c>
      <c r="AG383" s="294" t="s">
        <v>324</v>
      </c>
      <c r="AH383" s="294" t="s">
        <v>326</v>
      </c>
      <c r="AI383" s="301">
        <v>61671368</v>
      </c>
    </row>
    <row r="384" spans="27:35" ht="16" customHeight="1">
      <c r="AA384" s="299">
        <v>2019</v>
      </c>
      <c r="AB384" s="299">
        <v>2670</v>
      </c>
      <c r="AC384" s="300" t="s">
        <v>257</v>
      </c>
      <c r="AD384" s="299">
        <v>755</v>
      </c>
      <c r="AE384" s="299">
        <v>6</v>
      </c>
      <c r="AF384" s="294" t="s">
        <v>320</v>
      </c>
      <c r="AG384" s="294" t="s">
        <v>327</v>
      </c>
      <c r="AH384" s="294" t="s">
        <v>328</v>
      </c>
      <c r="AI384" s="301">
        <v>0</v>
      </c>
    </row>
    <row r="385" spans="27:35" ht="16" customHeight="1">
      <c r="AA385" s="299">
        <v>2019</v>
      </c>
      <c r="AB385" s="299">
        <v>2670</v>
      </c>
      <c r="AC385" s="300" t="s">
        <v>257</v>
      </c>
      <c r="AD385" s="299">
        <v>755</v>
      </c>
      <c r="AE385" s="299">
        <v>7</v>
      </c>
      <c r="AF385" s="294" t="s">
        <v>320</v>
      </c>
      <c r="AG385" s="294" t="s">
        <v>324</v>
      </c>
      <c r="AH385" s="294" t="s">
        <v>329</v>
      </c>
      <c r="AI385" s="301">
        <v>61671368</v>
      </c>
    </row>
    <row r="386" spans="27:35" ht="16" customHeight="1">
      <c r="AA386" s="299">
        <v>2019</v>
      </c>
      <c r="AB386" s="299">
        <v>2670</v>
      </c>
      <c r="AC386" s="300" t="s">
        <v>257</v>
      </c>
      <c r="AD386" s="299">
        <v>755</v>
      </c>
      <c r="AE386" s="299">
        <v>8</v>
      </c>
      <c r="AF386" s="294" t="s">
        <v>330</v>
      </c>
      <c r="AG386" s="294" t="s">
        <v>331</v>
      </c>
      <c r="AH386" s="294" t="s">
        <v>322</v>
      </c>
      <c r="AI386" s="301">
        <v>24398204</v>
      </c>
    </row>
    <row r="387" spans="27:35" ht="16" customHeight="1">
      <c r="AA387" s="299">
        <v>2019</v>
      </c>
      <c r="AB387" s="299">
        <v>2670</v>
      </c>
      <c r="AC387" s="300" t="s">
        <v>257</v>
      </c>
      <c r="AD387" s="299">
        <v>755</v>
      </c>
      <c r="AE387" s="299">
        <v>9</v>
      </c>
      <c r="AF387" s="294" t="s">
        <v>330</v>
      </c>
      <c r="AG387" s="294" t="s">
        <v>331</v>
      </c>
      <c r="AH387" s="294" t="s">
        <v>323</v>
      </c>
      <c r="AI387" s="301">
        <v>21289262</v>
      </c>
    </row>
    <row r="388" spans="27:35" ht="16" customHeight="1">
      <c r="AA388" s="299">
        <v>2019</v>
      </c>
      <c r="AB388" s="299">
        <v>2670</v>
      </c>
      <c r="AC388" s="300" t="s">
        <v>257</v>
      </c>
      <c r="AD388" s="299">
        <v>755</v>
      </c>
      <c r="AE388" s="299">
        <v>10</v>
      </c>
      <c r="AF388" s="294" t="s">
        <v>330</v>
      </c>
      <c r="AG388" s="294" t="s">
        <v>332</v>
      </c>
      <c r="AH388" s="294" t="s">
        <v>325</v>
      </c>
      <c r="AI388" s="301">
        <v>81748321</v>
      </c>
    </row>
    <row r="389" spans="27:35" ht="16" customHeight="1">
      <c r="AA389" s="299">
        <v>2019</v>
      </c>
      <c r="AB389" s="299">
        <v>2670</v>
      </c>
      <c r="AC389" s="300" t="s">
        <v>257</v>
      </c>
      <c r="AD389" s="299">
        <v>755</v>
      </c>
      <c r="AE389" s="299">
        <v>11</v>
      </c>
      <c r="AF389" s="294" t="s">
        <v>330</v>
      </c>
      <c r="AG389" s="294" t="s">
        <v>332</v>
      </c>
      <c r="AH389" s="294" t="s">
        <v>333</v>
      </c>
      <c r="AI389" s="301">
        <v>127435787</v>
      </c>
    </row>
    <row r="390" spans="27:35" ht="16" customHeight="1">
      <c r="AA390" s="299">
        <v>2019</v>
      </c>
      <c r="AB390" s="299">
        <v>2670</v>
      </c>
      <c r="AC390" s="300" t="s">
        <v>257</v>
      </c>
      <c r="AD390" s="299">
        <v>755</v>
      </c>
      <c r="AE390" s="299">
        <v>12</v>
      </c>
      <c r="AF390" s="294" t="s">
        <v>330</v>
      </c>
      <c r="AG390" s="294" t="s">
        <v>334</v>
      </c>
      <c r="AH390" s="294" t="s">
        <v>335</v>
      </c>
      <c r="AI390" s="301">
        <v>3530502</v>
      </c>
    </row>
    <row r="391" spans="27:35" ht="16" customHeight="1">
      <c r="AA391" s="299">
        <v>2019</v>
      </c>
      <c r="AB391" s="299">
        <v>2670</v>
      </c>
      <c r="AC391" s="300" t="s">
        <v>257</v>
      </c>
      <c r="AD391" s="299">
        <v>755</v>
      </c>
      <c r="AE391" s="299">
        <v>13</v>
      </c>
      <c r="AF391" s="294" t="s">
        <v>330</v>
      </c>
      <c r="AG391" s="294" t="s">
        <v>336</v>
      </c>
      <c r="AH391" s="294" t="s">
        <v>308</v>
      </c>
      <c r="AI391" s="301">
        <v>10116858</v>
      </c>
    </row>
    <row r="392" spans="27:35" ht="16" customHeight="1">
      <c r="AA392" s="299">
        <v>2019</v>
      </c>
      <c r="AB392" s="299">
        <v>2670</v>
      </c>
      <c r="AC392" s="300" t="s">
        <v>257</v>
      </c>
      <c r="AD392" s="299">
        <v>755</v>
      </c>
      <c r="AE392" s="299">
        <v>14</v>
      </c>
      <c r="AF392" s="294" t="s">
        <v>330</v>
      </c>
      <c r="AG392" s="294" t="s">
        <v>337</v>
      </c>
      <c r="AH392" s="294" t="s">
        <v>338</v>
      </c>
      <c r="AI392" s="301">
        <v>141083147</v>
      </c>
    </row>
    <row r="393" spans="27:35" ht="16" customHeight="1">
      <c r="AA393" s="299">
        <v>2019</v>
      </c>
      <c r="AB393" s="299">
        <v>2670</v>
      </c>
      <c r="AC393" s="300" t="s">
        <v>257</v>
      </c>
      <c r="AD393" s="299">
        <v>755</v>
      </c>
      <c r="AE393" s="299">
        <v>15</v>
      </c>
      <c r="AF393" s="294" t="s">
        <v>385</v>
      </c>
      <c r="AG393" s="294" t="s">
        <v>386</v>
      </c>
      <c r="AH393" s="294" t="s">
        <v>387</v>
      </c>
      <c r="AI393" s="301">
        <v>0</v>
      </c>
    </row>
    <row r="394" spans="27:35" ht="16" customHeight="1">
      <c r="AA394" s="299">
        <v>2019</v>
      </c>
      <c r="AB394" s="299">
        <v>2670</v>
      </c>
      <c r="AC394" s="300" t="s">
        <v>257</v>
      </c>
      <c r="AD394" s="299">
        <v>755</v>
      </c>
      <c r="AE394" s="299">
        <v>16</v>
      </c>
      <c r="AF394" s="294" t="s">
        <v>385</v>
      </c>
      <c r="AG394" s="294" t="s">
        <v>386</v>
      </c>
      <c r="AH394" s="294" t="s">
        <v>388</v>
      </c>
      <c r="AI394" s="301">
        <v>10461000</v>
      </c>
    </row>
    <row r="395" spans="27:35" ht="16" customHeight="1">
      <c r="AA395" s="299">
        <v>2019</v>
      </c>
      <c r="AB395" s="299">
        <v>2670</v>
      </c>
      <c r="AC395" s="300" t="s">
        <v>257</v>
      </c>
      <c r="AD395" s="299">
        <v>755</v>
      </c>
      <c r="AE395" s="299">
        <v>17</v>
      </c>
      <c r="AF395" s="294" t="s">
        <v>385</v>
      </c>
      <c r="AG395" s="294" t="s">
        <v>386</v>
      </c>
      <c r="AH395" s="294" t="s">
        <v>389</v>
      </c>
      <c r="AI395" s="301">
        <v>111142000</v>
      </c>
    </row>
    <row r="396" spans="27:35" ht="16" customHeight="1">
      <c r="AA396" s="299">
        <v>2019</v>
      </c>
      <c r="AB396" s="299">
        <v>2670</v>
      </c>
      <c r="AC396" s="300" t="s">
        <v>257</v>
      </c>
      <c r="AD396" s="299">
        <v>755</v>
      </c>
      <c r="AE396" s="299">
        <v>18</v>
      </c>
      <c r="AF396" s="294" t="s">
        <v>385</v>
      </c>
      <c r="AG396" s="294" t="s">
        <v>386</v>
      </c>
      <c r="AH396" s="294" t="s">
        <v>390</v>
      </c>
      <c r="AI396" s="301">
        <v>185625000</v>
      </c>
    </row>
    <row r="397" spans="27:35" ht="16" customHeight="1">
      <c r="AA397" s="299">
        <v>2019</v>
      </c>
      <c r="AB397" s="299">
        <v>2670</v>
      </c>
      <c r="AC397" s="300" t="s">
        <v>257</v>
      </c>
      <c r="AD397" s="299">
        <v>755</v>
      </c>
      <c r="AE397" s="299">
        <v>19</v>
      </c>
      <c r="AF397" s="294" t="s">
        <v>385</v>
      </c>
      <c r="AG397" s="294" t="s">
        <v>386</v>
      </c>
      <c r="AH397" s="294" t="s">
        <v>391</v>
      </c>
      <c r="AI397" s="301">
        <v>43793000</v>
      </c>
    </row>
    <row r="398" spans="27:35" ht="16" customHeight="1">
      <c r="AA398" s="299">
        <v>2019</v>
      </c>
      <c r="AB398" s="299">
        <v>2670</v>
      </c>
      <c r="AC398" s="300" t="s">
        <v>257</v>
      </c>
      <c r="AD398" s="299">
        <v>755</v>
      </c>
      <c r="AE398" s="299">
        <v>20</v>
      </c>
      <c r="AF398" s="294" t="s">
        <v>385</v>
      </c>
      <c r="AG398" s="294" t="s">
        <v>386</v>
      </c>
      <c r="AH398" s="294" t="s">
        <v>392</v>
      </c>
      <c r="AI398" s="301">
        <v>90542000</v>
      </c>
    </row>
    <row r="399" spans="27:35" ht="16" customHeight="1">
      <c r="AA399" s="299">
        <v>2019</v>
      </c>
      <c r="AB399" s="299">
        <v>2670</v>
      </c>
      <c r="AC399" s="300" t="s">
        <v>257</v>
      </c>
      <c r="AD399" s="299">
        <v>755</v>
      </c>
      <c r="AE399" s="299">
        <v>21</v>
      </c>
      <c r="AF399" s="294" t="s">
        <v>385</v>
      </c>
      <c r="AG399" s="294" t="s">
        <v>386</v>
      </c>
      <c r="AH399" s="294" t="s">
        <v>393</v>
      </c>
      <c r="AI399" s="301">
        <v>30135000</v>
      </c>
    </row>
    <row r="400" spans="27:35" ht="16" customHeight="1">
      <c r="AA400" s="299">
        <v>2019</v>
      </c>
      <c r="AB400" s="299">
        <v>2670</v>
      </c>
      <c r="AC400" s="300" t="s">
        <v>257</v>
      </c>
      <c r="AD400" s="299">
        <v>755</v>
      </c>
      <c r="AE400" s="299">
        <v>22</v>
      </c>
      <c r="AF400" s="294" t="s">
        <v>385</v>
      </c>
      <c r="AG400" s="294" t="s">
        <v>386</v>
      </c>
      <c r="AH400" s="294" t="s">
        <v>394</v>
      </c>
      <c r="AI400" s="301">
        <v>33586000</v>
      </c>
    </row>
    <row r="401" spans="27:35" ht="16" customHeight="1">
      <c r="AA401" s="299">
        <v>2019</v>
      </c>
      <c r="AB401" s="299">
        <v>2670</v>
      </c>
      <c r="AC401" s="300" t="s">
        <v>257</v>
      </c>
      <c r="AD401" s="299">
        <v>755</v>
      </c>
      <c r="AE401" s="299">
        <v>23</v>
      </c>
      <c r="AF401" s="294" t="s">
        <v>385</v>
      </c>
      <c r="AG401" s="294" t="s">
        <v>386</v>
      </c>
      <c r="AH401" s="294" t="s">
        <v>395</v>
      </c>
      <c r="AI401" s="301">
        <v>10361000</v>
      </c>
    </row>
    <row r="402" spans="27:35" ht="16" customHeight="1">
      <c r="AA402" s="299">
        <v>2019</v>
      </c>
      <c r="AB402" s="299">
        <v>2670</v>
      </c>
      <c r="AC402" s="300" t="s">
        <v>257</v>
      </c>
      <c r="AD402" s="299">
        <v>755</v>
      </c>
      <c r="AE402" s="299">
        <v>24</v>
      </c>
      <c r="AF402" s="294" t="s">
        <v>385</v>
      </c>
      <c r="AG402" s="294" t="s">
        <v>386</v>
      </c>
      <c r="AH402" s="294" t="s">
        <v>396</v>
      </c>
      <c r="AI402" s="301">
        <v>2445000</v>
      </c>
    </row>
    <row r="403" spans="27:35" ht="16" customHeight="1">
      <c r="AA403" s="299">
        <v>2019</v>
      </c>
      <c r="AB403" s="299">
        <v>2670</v>
      </c>
      <c r="AC403" s="300" t="s">
        <v>257</v>
      </c>
      <c r="AD403" s="299">
        <v>755</v>
      </c>
      <c r="AE403" s="299">
        <v>25</v>
      </c>
      <c r="AF403" s="294" t="s">
        <v>385</v>
      </c>
      <c r="AG403" s="294" t="s">
        <v>386</v>
      </c>
      <c r="AH403" s="294" t="s">
        <v>397</v>
      </c>
      <c r="AI403" s="301">
        <v>114665000</v>
      </c>
    </row>
    <row r="404" spans="27:35" ht="16" customHeight="1">
      <c r="AA404" s="299">
        <v>2019</v>
      </c>
      <c r="AB404" s="299">
        <v>2670</v>
      </c>
      <c r="AC404" s="300" t="s">
        <v>257</v>
      </c>
      <c r="AD404" s="299">
        <v>755</v>
      </c>
      <c r="AE404" s="299">
        <v>26</v>
      </c>
      <c r="AF404" s="294" t="s">
        <v>385</v>
      </c>
      <c r="AG404" s="294" t="s">
        <v>386</v>
      </c>
      <c r="AH404" s="294" t="s">
        <v>398</v>
      </c>
      <c r="AI404" s="301">
        <v>47992000</v>
      </c>
    </row>
    <row r="405" spans="27:35" ht="16" customHeight="1">
      <c r="AA405" s="299">
        <v>2019</v>
      </c>
      <c r="AB405" s="299">
        <v>2670</v>
      </c>
      <c r="AC405" s="300" t="s">
        <v>257</v>
      </c>
      <c r="AD405" s="299">
        <v>755</v>
      </c>
      <c r="AE405" s="299">
        <v>27</v>
      </c>
      <c r="AF405" s="294" t="s">
        <v>385</v>
      </c>
      <c r="AG405" s="294" t="s">
        <v>386</v>
      </c>
      <c r="AH405" s="294" t="s">
        <v>399</v>
      </c>
      <c r="AI405" s="301">
        <v>156000</v>
      </c>
    </row>
    <row r="406" spans="27:35" ht="16" customHeight="1">
      <c r="AA406" s="299">
        <v>2019</v>
      </c>
      <c r="AB406" s="299">
        <v>2670</v>
      </c>
      <c r="AC406" s="300" t="s">
        <v>257</v>
      </c>
      <c r="AD406" s="299">
        <v>755</v>
      </c>
      <c r="AE406" s="299">
        <v>28</v>
      </c>
      <c r="AF406" s="294" t="s">
        <v>385</v>
      </c>
      <c r="AG406" s="294" t="s">
        <v>386</v>
      </c>
      <c r="AH406" s="294" t="s">
        <v>400</v>
      </c>
      <c r="AI406" s="301">
        <v>35491000</v>
      </c>
    </row>
    <row r="407" spans="27:35" ht="16" customHeight="1">
      <c r="AA407" s="299">
        <v>2019</v>
      </c>
      <c r="AB407" s="299">
        <v>2670</v>
      </c>
      <c r="AC407" s="300" t="s">
        <v>257</v>
      </c>
      <c r="AD407" s="299">
        <v>755</v>
      </c>
      <c r="AE407" s="299">
        <v>29</v>
      </c>
      <c r="AF407" s="294" t="s">
        <v>385</v>
      </c>
      <c r="AG407" s="294" t="s">
        <v>401</v>
      </c>
      <c r="AH407" s="294" t="s">
        <v>402</v>
      </c>
      <c r="AI407" s="301">
        <v>2346000</v>
      </c>
    </row>
    <row r="408" spans="27:35" ht="16" customHeight="1">
      <c r="AA408" s="299">
        <v>2019</v>
      </c>
      <c r="AB408" s="299">
        <v>2670</v>
      </c>
      <c r="AC408" s="300" t="s">
        <v>257</v>
      </c>
      <c r="AD408" s="299">
        <v>755</v>
      </c>
      <c r="AE408" s="299">
        <v>30</v>
      </c>
      <c r="AF408" s="294" t="s">
        <v>385</v>
      </c>
      <c r="AG408" s="294" t="s">
        <v>401</v>
      </c>
      <c r="AH408" s="294" t="s">
        <v>403</v>
      </c>
      <c r="AI408" s="301">
        <v>718740000</v>
      </c>
    </row>
    <row r="409" spans="27:35" ht="16" customHeight="1">
      <c r="AA409" s="299">
        <v>2019</v>
      </c>
      <c r="AB409" s="299">
        <v>2670</v>
      </c>
      <c r="AC409" s="300" t="s">
        <v>257</v>
      </c>
      <c r="AD409" s="299">
        <v>755</v>
      </c>
      <c r="AE409" s="299">
        <v>31</v>
      </c>
      <c r="AF409" s="294" t="s">
        <v>385</v>
      </c>
      <c r="AG409" s="294" t="s">
        <v>404</v>
      </c>
      <c r="AH409" s="294" t="s">
        <v>387</v>
      </c>
      <c r="AI409" s="301">
        <v>0</v>
      </c>
    </row>
    <row r="410" spans="27:35" ht="16" customHeight="1">
      <c r="AA410" s="299">
        <v>2019</v>
      </c>
      <c r="AB410" s="299">
        <v>2670</v>
      </c>
      <c r="AC410" s="300" t="s">
        <v>257</v>
      </c>
      <c r="AD410" s="299">
        <v>755</v>
      </c>
      <c r="AE410" s="299">
        <v>32</v>
      </c>
      <c r="AF410" s="294" t="s">
        <v>385</v>
      </c>
      <c r="AG410" s="294" t="s">
        <v>404</v>
      </c>
      <c r="AH410" s="294" t="s">
        <v>388</v>
      </c>
      <c r="AI410" s="301">
        <v>9744000</v>
      </c>
    </row>
    <row r="411" spans="27:35" ht="16" customHeight="1">
      <c r="AA411" s="299">
        <v>2019</v>
      </c>
      <c r="AB411" s="299">
        <v>2670</v>
      </c>
      <c r="AC411" s="300" t="s">
        <v>257</v>
      </c>
      <c r="AD411" s="299">
        <v>755</v>
      </c>
      <c r="AE411" s="299">
        <v>33</v>
      </c>
      <c r="AF411" s="294" t="s">
        <v>385</v>
      </c>
      <c r="AG411" s="294" t="s">
        <v>404</v>
      </c>
      <c r="AH411" s="294" t="s">
        <v>389</v>
      </c>
      <c r="AI411" s="301">
        <v>101744000</v>
      </c>
    </row>
    <row r="412" spans="27:35" ht="16" customHeight="1">
      <c r="AA412" s="299">
        <v>2019</v>
      </c>
      <c r="AB412" s="299">
        <v>2670</v>
      </c>
      <c r="AC412" s="300" t="s">
        <v>257</v>
      </c>
      <c r="AD412" s="299">
        <v>755</v>
      </c>
      <c r="AE412" s="299">
        <v>34</v>
      </c>
      <c r="AF412" s="294" t="s">
        <v>385</v>
      </c>
      <c r="AG412" s="294" t="s">
        <v>404</v>
      </c>
      <c r="AH412" s="294" t="s">
        <v>390</v>
      </c>
      <c r="AI412" s="301">
        <v>173685000</v>
      </c>
    </row>
    <row r="413" spans="27:35" ht="16" customHeight="1">
      <c r="AA413" s="299">
        <v>2019</v>
      </c>
      <c r="AB413" s="299">
        <v>2670</v>
      </c>
      <c r="AC413" s="300" t="s">
        <v>257</v>
      </c>
      <c r="AD413" s="299">
        <v>755</v>
      </c>
      <c r="AE413" s="299">
        <v>35</v>
      </c>
      <c r="AF413" s="294" t="s">
        <v>385</v>
      </c>
      <c r="AG413" s="294" t="s">
        <v>404</v>
      </c>
      <c r="AH413" s="294" t="s">
        <v>391</v>
      </c>
      <c r="AI413" s="301">
        <v>42998000</v>
      </c>
    </row>
    <row r="414" spans="27:35" ht="16" customHeight="1">
      <c r="AA414" s="299">
        <v>2019</v>
      </c>
      <c r="AB414" s="299">
        <v>2670</v>
      </c>
      <c r="AC414" s="300" t="s">
        <v>257</v>
      </c>
      <c r="AD414" s="299">
        <v>755</v>
      </c>
      <c r="AE414" s="299">
        <v>36</v>
      </c>
      <c r="AF414" s="294" t="s">
        <v>385</v>
      </c>
      <c r="AG414" s="294" t="s">
        <v>404</v>
      </c>
      <c r="AH414" s="294" t="s">
        <v>392</v>
      </c>
      <c r="AI414" s="301">
        <v>92830000</v>
      </c>
    </row>
    <row r="415" spans="27:35" ht="16" customHeight="1">
      <c r="AA415" s="299">
        <v>2019</v>
      </c>
      <c r="AB415" s="299">
        <v>2670</v>
      </c>
      <c r="AC415" s="300" t="s">
        <v>257</v>
      </c>
      <c r="AD415" s="299">
        <v>755</v>
      </c>
      <c r="AE415" s="299">
        <v>37</v>
      </c>
      <c r="AF415" s="294" t="s">
        <v>385</v>
      </c>
      <c r="AG415" s="294" t="s">
        <v>404</v>
      </c>
      <c r="AH415" s="294" t="s">
        <v>393</v>
      </c>
      <c r="AI415" s="301">
        <v>31118000</v>
      </c>
    </row>
    <row r="416" spans="27:35" ht="16" customHeight="1">
      <c r="AA416" s="299">
        <v>2019</v>
      </c>
      <c r="AB416" s="299">
        <v>2670</v>
      </c>
      <c r="AC416" s="300" t="s">
        <v>257</v>
      </c>
      <c r="AD416" s="299">
        <v>755</v>
      </c>
      <c r="AE416" s="299">
        <v>38</v>
      </c>
      <c r="AF416" s="294" t="s">
        <v>385</v>
      </c>
      <c r="AG416" s="294" t="s">
        <v>404</v>
      </c>
      <c r="AH416" s="294" t="s">
        <v>394</v>
      </c>
      <c r="AI416" s="301">
        <v>35177000</v>
      </c>
    </row>
    <row r="417" spans="27:35" ht="16" customHeight="1">
      <c r="AA417" s="299">
        <v>2019</v>
      </c>
      <c r="AB417" s="299">
        <v>2670</v>
      </c>
      <c r="AC417" s="300" t="s">
        <v>257</v>
      </c>
      <c r="AD417" s="299">
        <v>755</v>
      </c>
      <c r="AE417" s="299">
        <v>39</v>
      </c>
      <c r="AF417" s="294" t="s">
        <v>385</v>
      </c>
      <c r="AG417" s="294" t="s">
        <v>404</v>
      </c>
      <c r="AH417" s="294" t="s">
        <v>395</v>
      </c>
      <c r="AI417" s="301">
        <v>10552000</v>
      </c>
    </row>
    <row r="418" spans="27:35" ht="16" customHeight="1">
      <c r="AA418" s="299">
        <v>2019</v>
      </c>
      <c r="AB418" s="299">
        <v>2670</v>
      </c>
      <c r="AC418" s="300" t="s">
        <v>257</v>
      </c>
      <c r="AD418" s="299">
        <v>755</v>
      </c>
      <c r="AE418" s="299">
        <v>40</v>
      </c>
      <c r="AF418" s="294" t="s">
        <v>385</v>
      </c>
      <c r="AG418" s="294" t="s">
        <v>404</v>
      </c>
      <c r="AH418" s="294" t="s">
        <v>396</v>
      </c>
      <c r="AI418" s="301">
        <v>2439000</v>
      </c>
    </row>
    <row r="419" spans="27:35" ht="16" customHeight="1">
      <c r="AA419" s="299">
        <v>2019</v>
      </c>
      <c r="AB419" s="299">
        <v>2670</v>
      </c>
      <c r="AC419" s="300" t="s">
        <v>257</v>
      </c>
      <c r="AD419" s="299">
        <v>755</v>
      </c>
      <c r="AE419" s="299">
        <v>41</v>
      </c>
      <c r="AF419" s="294" t="s">
        <v>385</v>
      </c>
      <c r="AG419" s="294" t="s">
        <v>404</v>
      </c>
      <c r="AH419" s="294" t="s">
        <v>397</v>
      </c>
      <c r="AI419" s="301">
        <v>10692000</v>
      </c>
    </row>
    <row r="420" spans="27:35" ht="16" customHeight="1">
      <c r="AA420" s="299">
        <v>2019</v>
      </c>
      <c r="AB420" s="299">
        <v>2670</v>
      </c>
      <c r="AC420" s="300" t="s">
        <v>257</v>
      </c>
      <c r="AD420" s="299">
        <v>755</v>
      </c>
      <c r="AE420" s="299">
        <v>42</v>
      </c>
      <c r="AF420" s="294" t="s">
        <v>385</v>
      </c>
      <c r="AG420" s="294" t="s">
        <v>404</v>
      </c>
      <c r="AH420" s="294" t="s">
        <v>398</v>
      </c>
      <c r="AI420" s="301">
        <v>28932000</v>
      </c>
    </row>
    <row r="421" spans="27:35" ht="16" customHeight="1">
      <c r="AA421" s="299">
        <v>2019</v>
      </c>
      <c r="AB421" s="299">
        <v>2670</v>
      </c>
      <c r="AC421" s="300" t="s">
        <v>257</v>
      </c>
      <c r="AD421" s="299">
        <v>755</v>
      </c>
      <c r="AE421" s="299">
        <v>43</v>
      </c>
      <c r="AF421" s="294" t="s">
        <v>385</v>
      </c>
      <c r="AG421" s="294" t="s">
        <v>404</v>
      </c>
      <c r="AH421" s="294" t="s">
        <v>399</v>
      </c>
      <c r="AI421" s="301">
        <v>172000</v>
      </c>
    </row>
    <row r="422" spans="27:35" ht="16" customHeight="1">
      <c r="AA422" s="299">
        <v>2019</v>
      </c>
      <c r="AB422" s="299">
        <v>2670</v>
      </c>
      <c r="AC422" s="300" t="s">
        <v>257</v>
      </c>
      <c r="AD422" s="299">
        <v>755</v>
      </c>
      <c r="AE422" s="299">
        <v>44</v>
      </c>
      <c r="AF422" s="294" t="s">
        <v>385</v>
      </c>
      <c r="AG422" s="294" t="s">
        <v>404</v>
      </c>
      <c r="AH422" s="294" t="s">
        <v>400</v>
      </c>
      <c r="AI422" s="301">
        <v>33811000</v>
      </c>
    </row>
    <row r="423" spans="27:35" ht="16" customHeight="1">
      <c r="AA423" s="299">
        <v>2019</v>
      </c>
      <c r="AB423" s="299">
        <v>2670</v>
      </c>
      <c r="AC423" s="300" t="s">
        <v>257</v>
      </c>
      <c r="AD423" s="299">
        <v>755</v>
      </c>
      <c r="AE423" s="299">
        <v>45</v>
      </c>
      <c r="AF423" s="294" t="s">
        <v>385</v>
      </c>
      <c r="AG423" s="294" t="s">
        <v>405</v>
      </c>
      <c r="AH423" s="294" t="s">
        <v>402</v>
      </c>
      <c r="AI423" s="301">
        <v>2086000</v>
      </c>
    </row>
    <row r="424" spans="27:35" ht="16" customHeight="1">
      <c r="AA424" s="299">
        <v>2019</v>
      </c>
      <c r="AB424" s="299">
        <v>2670</v>
      </c>
      <c r="AC424" s="300" t="s">
        <v>257</v>
      </c>
      <c r="AD424" s="299">
        <v>755</v>
      </c>
      <c r="AE424" s="299">
        <v>46</v>
      </c>
      <c r="AF424" s="294" t="s">
        <v>385</v>
      </c>
      <c r="AG424" s="294" t="s">
        <v>405</v>
      </c>
      <c r="AH424" s="294" t="s">
        <v>406</v>
      </c>
      <c r="AI424" s="301">
        <v>575980000</v>
      </c>
    </row>
    <row r="425" spans="27:35" ht="16" customHeight="1">
      <c r="AA425" s="299">
        <v>2019</v>
      </c>
      <c r="AB425" s="299">
        <v>2670</v>
      </c>
      <c r="AC425" s="300" t="s">
        <v>257</v>
      </c>
      <c r="AD425" s="299">
        <v>755</v>
      </c>
      <c r="AE425" s="299">
        <v>47</v>
      </c>
      <c r="AF425" s="294" t="s">
        <v>385</v>
      </c>
      <c r="AG425" s="294" t="s">
        <v>407</v>
      </c>
      <c r="AH425" s="294" t="s">
        <v>387</v>
      </c>
      <c r="AI425" s="301">
        <v>0</v>
      </c>
    </row>
    <row r="426" spans="27:35" ht="16" customHeight="1">
      <c r="AA426" s="299">
        <v>2019</v>
      </c>
      <c r="AB426" s="299">
        <v>2670</v>
      </c>
      <c r="AC426" s="300" t="s">
        <v>257</v>
      </c>
      <c r="AD426" s="299">
        <v>755</v>
      </c>
      <c r="AE426" s="299">
        <v>48</v>
      </c>
      <c r="AF426" s="294" t="s">
        <v>385</v>
      </c>
      <c r="AG426" s="294" t="s">
        <v>407</v>
      </c>
      <c r="AH426" s="294" t="s">
        <v>388</v>
      </c>
      <c r="AI426" s="301">
        <v>11821000</v>
      </c>
    </row>
    <row r="427" spans="27:35" ht="16" customHeight="1">
      <c r="AA427" s="299">
        <v>2019</v>
      </c>
      <c r="AB427" s="299">
        <v>2670</v>
      </c>
      <c r="AC427" s="300" t="s">
        <v>257</v>
      </c>
      <c r="AD427" s="299">
        <v>755</v>
      </c>
      <c r="AE427" s="299">
        <v>49</v>
      </c>
      <c r="AF427" s="294" t="s">
        <v>385</v>
      </c>
      <c r="AG427" s="294" t="s">
        <v>407</v>
      </c>
      <c r="AH427" s="294" t="s">
        <v>389</v>
      </c>
      <c r="AI427" s="301">
        <v>51567000</v>
      </c>
    </row>
    <row r="428" spans="27:35" ht="16" customHeight="1">
      <c r="AA428" s="299">
        <v>2019</v>
      </c>
      <c r="AB428" s="299">
        <v>2670</v>
      </c>
      <c r="AC428" s="300" t="s">
        <v>257</v>
      </c>
      <c r="AD428" s="299">
        <v>755</v>
      </c>
      <c r="AE428" s="299">
        <v>50</v>
      </c>
      <c r="AF428" s="294" t="s">
        <v>385</v>
      </c>
      <c r="AG428" s="294" t="s">
        <v>407</v>
      </c>
      <c r="AH428" s="294" t="s">
        <v>390</v>
      </c>
      <c r="AI428" s="301">
        <v>93079000</v>
      </c>
    </row>
    <row r="429" spans="27:35" ht="16" customHeight="1">
      <c r="AA429" s="299">
        <v>2019</v>
      </c>
      <c r="AB429" s="299">
        <v>2670</v>
      </c>
      <c r="AC429" s="300" t="s">
        <v>257</v>
      </c>
      <c r="AD429" s="299">
        <v>755</v>
      </c>
      <c r="AE429" s="299">
        <v>51</v>
      </c>
      <c r="AF429" s="294" t="s">
        <v>385</v>
      </c>
      <c r="AG429" s="294" t="s">
        <v>407</v>
      </c>
      <c r="AH429" s="294" t="s">
        <v>391</v>
      </c>
      <c r="AI429" s="301">
        <v>27779000</v>
      </c>
    </row>
    <row r="430" spans="27:35" ht="16" customHeight="1">
      <c r="AA430" s="299">
        <v>2019</v>
      </c>
      <c r="AB430" s="299">
        <v>2670</v>
      </c>
      <c r="AC430" s="300" t="s">
        <v>257</v>
      </c>
      <c r="AD430" s="299">
        <v>755</v>
      </c>
      <c r="AE430" s="299">
        <v>52</v>
      </c>
      <c r="AF430" s="294" t="s">
        <v>385</v>
      </c>
      <c r="AG430" s="294" t="s">
        <v>407</v>
      </c>
      <c r="AH430" s="294" t="s">
        <v>392</v>
      </c>
      <c r="AI430" s="301">
        <v>371905000</v>
      </c>
    </row>
    <row r="431" spans="27:35" ht="16" customHeight="1">
      <c r="AA431" s="299">
        <v>2019</v>
      </c>
      <c r="AB431" s="299">
        <v>2670</v>
      </c>
      <c r="AC431" s="300" t="s">
        <v>257</v>
      </c>
      <c r="AD431" s="299">
        <v>755</v>
      </c>
      <c r="AE431" s="299">
        <v>53</v>
      </c>
      <c r="AF431" s="294" t="s">
        <v>385</v>
      </c>
      <c r="AG431" s="294" t="s">
        <v>407</v>
      </c>
      <c r="AH431" s="294" t="s">
        <v>393</v>
      </c>
      <c r="AI431" s="301">
        <v>70305000</v>
      </c>
    </row>
    <row r="432" spans="27:35" ht="16" customHeight="1">
      <c r="AA432" s="299">
        <v>2019</v>
      </c>
      <c r="AB432" s="299">
        <v>2670</v>
      </c>
      <c r="AC432" s="300" t="s">
        <v>257</v>
      </c>
      <c r="AD432" s="299">
        <v>755</v>
      </c>
      <c r="AE432" s="299">
        <v>54</v>
      </c>
      <c r="AF432" s="294" t="s">
        <v>385</v>
      </c>
      <c r="AG432" s="294" t="s">
        <v>407</v>
      </c>
      <c r="AH432" s="294" t="s">
        <v>394</v>
      </c>
      <c r="AI432" s="301">
        <v>117637000</v>
      </c>
    </row>
    <row r="433" spans="27:35" ht="16" customHeight="1">
      <c r="AA433" s="299">
        <v>2019</v>
      </c>
      <c r="AB433" s="299">
        <v>2670</v>
      </c>
      <c r="AC433" s="300" t="s">
        <v>257</v>
      </c>
      <c r="AD433" s="299">
        <v>755</v>
      </c>
      <c r="AE433" s="299">
        <v>55</v>
      </c>
      <c r="AF433" s="294" t="s">
        <v>385</v>
      </c>
      <c r="AG433" s="294" t="s">
        <v>407</v>
      </c>
      <c r="AH433" s="294" t="s">
        <v>395</v>
      </c>
      <c r="AI433" s="301">
        <v>21000000</v>
      </c>
    </row>
    <row r="434" spans="27:35" ht="16" customHeight="1">
      <c r="AA434" s="299">
        <v>2019</v>
      </c>
      <c r="AB434" s="299">
        <v>2670</v>
      </c>
      <c r="AC434" s="300" t="s">
        <v>257</v>
      </c>
      <c r="AD434" s="299">
        <v>755</v>
      </c>
      <c r="AE434" s="299">
        <v>56</v>
      </c>
      <c r="AF434" s="294" t="s">
        <v>385</v>
      </c>
      <c r="AG434" s="294" t="s">
        <v>407</v>
      </c>
      <c r="AH434" s="294" t="s">
        <v>396</v>
      </c>
      <c r="AI434" s="301">
        <v>3232000</v>
      </c>
    </row>
    <row r="435" spans="27:35" ht="16" customHeight="1">
      <c r="AA435" s="299">
        <v>2019</v>
      </c>
      <c r="AB435" s="299">
        <v>2670</v>
      </c>
      <c r="AC435" s="300" t="s">
        <v>257</v>
      </c>
      <c r="AD435" s="299">
        <v>755</v>
      </c>
      <c r="AE435" s="299">
        <v>57</v>
      </c>
      <c r="AF435" s="294" t="s">
        <v>385</v>
      </c>
      <c r="AG435" s="294" t="s">
        <v>407</v>
      </c>
      <c r="AH435" s="294" t="s">
        <v>397</v>
      </c>
      <c r="AI435" s="301">
        <v>352615000</v>
      </c>
    </row>
    <row r="436" spans="27:35" ht="16" customHeight="1">
      <c r="AA436" s="299">
        <v>2019</v>
      </c>
      <c r="AB436" s="299">
        <v>2670</v>
      </c>
      <c r="AC436" s="300" t="s">
        <v>257</v>
      </c>
      <c r="AD436" s="299">
        <v>755</v>
      </c>
      <c r="AE436" s="299">
        <v>58</v>
      </c>
      <c r="AF436" s="294" t="s">
        <v>385</v>
      </c>
      <c r="AG436" s="294" t="s">
        <v>407</v>
      </c>
      <c r="AH436" s="294" t="s">
        <v>398</v>
      </c>
      <c r="AI436" s="301">
        <v>282401000</v>
      </c>
    </row>
    <row r="437" spans="27:35" ht="16" customHeight="1">
      <c r="AA437" s="299">
        <v>2019</v>
      </c>
      <c r="AB437" s="299">
        <v>2670</v>
      </c>
      <c r="AC437" s="300" t="s">
        <v>257</v>
      </c>
      <c r="AD437" s="299">
        <v>755</v>
      </c>
      <c r="AE437" s="299">
        <v>59</v>
      </c>
      <c r="AF437" s="294" t="s">
        <v>385</v>
      </c>
      <c r="AG437" s="294" t="s">
        <v>407</v>
      </c>
      <c r="AH437" s="294" t="s">
        <v>399</v>
      </c>
      <c r="AI437" s="301">
        <v>7000</v>
      </c>
    </row>
    <row r="438" spans="27:35" ht="16" customHeight="1">
      <c r="AA438" s="299">
        <v>2019</v>
      </c>
      <c r="AB438" s="299">
        <v>2670</v>
      </c>
      <c r="AC438" s="300" t="s">
        <v>257</v>
      </c>
      <c r="AD438" s="299">
        <v>755</v>
      </c>
      <c r="AE438" s="299">
        <v>60</v>
      </c>
      <c r="AF438" s="294" t="s">
        <v>385</v>
      </c>
      <c r="AG438" s="294" t="s">
        <v>407</v>
      </c>
      <c r="AH438" s="294" t="s">
        <v>400</v>
      </c>
      <c r="AI438" s="301">
        <v>60203000</v>
      </c>
    </row>
    <row r="439" spans="27:35" ht="16" customHeight="1">
      <c r="AA439" s="299">
        <v>2019</v>
      </c>
      <c r="AB439" s="299">
        <v>2670</v>
      </c>
      <c r="AC439" s="300" t="s">
        <v>257</v>
      </c>
      <c r="AD439" s="299">
        <v>755</v>
      </c>
      <c r="AE439" s="299">
        <v>61</v>
      </c>
      <c r="AF439" s="294" t="s">
        <v>385</v>
      </c>
      <c r="AG439" s="294" t="s">
        <v>407</v>
      </c>
      <c r="AH439" s="294" t="s">
        <v>408</v>
      </c>
      <c r="AI439" s="301">
        <v>107985000</v>
      </c>
    </row>
    <row r="440" spans="27:35" ht="16" customHeight="1">
      <c r="AA440" s="299">
        <v>2019</v>
      </c>
      <c r="AB440" s="299">
        <v>2670</v>
      </c>
      <c r="AC440" s="300" t="s">
        <v>257</v>
      </c>
      <c r="AD440" s="299">
        <v>755</v>
      </c>
      <c r="AE440" s="299">
        <v>62</v>
      </c>
      <c r="AF440" s="294" t="s">
        <v>385</v>
      </c>
      <c r="AG440" s="294" t="s">
        <v>407</v>
      </c>
      <c r="AH440" s="294" t="s">
        <v>409</v>
      </c>
      <c r="AI440" s="301">
        <v>298398000</v>
      </c>
    </row>
    <row r="441" spans="27:35" ht="16" customHeight="1">
      <c r="AA441" s="299">
        <v>2019</v>
      </c>
      <c r="AB441" s="299">
        <v>2670</v>
      </c>
      <c r="AC441" s="300" t="s">
        <v>257</v>
      </c>
      <c r="AD441" s="299">
        <v>755</v>
      </c>
      <c r="AE441" s="299">
        <v>63</v>
      </c>
      <c r="AF441" s="294" t="s">
        <v>385</v>
      </c>
      <c r="AG441" s="294" t="s">
        <v>410</v>
      </c>
      <c r="AH441" s="294" t="s">
        <v>402</v>
      </c>
      <c r="AI441" s="301">
        <v>11200000</v>
      </c>
    </row>
    <row r="442" spans="27:35" ht="16" customHeight="1">
      <c r="AA442" s="299">
        <v>2019</v>
      </c>
      <c r="AB442" s="299">
        <v>2670</v>
      </c>
      <c r="AC442" s="300" t="s">
        <v>257</v>
      </c>
      <c r="AD442" s="299">
        <v>755</v>
      </c>
      <c r="AE442" s="299">
        <v>64</v>
      </c>
      <c r="AF442" s="294" t="s">
        <v>385</v>
      </c>
      <c r="AG442" s="294" t="s">
        <v>410</v>
      </c>
      <c r="AH442" s="294" t="s">
        <v>411</v>
      </c>
      <c r="AI442" s="301">
        <v>1881134000</v>
      </c>
    </row>
    <row r="443" spans="27:35" ht="16" customHeight="1">
      <c r="AA443" s="299">
        <v>2019</v>
      </c>
      <c r="AB443" s="299">
        <v>2670</v>
      </c>
      <c r="AC443" s="300" t="s">
        <v>257</v>
      </c>
      <c r="AD443" s="299">
        <v>755</v>
      </c>
      <c r="AE443" s="299">
        <v>65</v>
      </c>
      <c r="AF443" s="294" t="s">
        <v>385</v>
      </c>
      <c r="AG443" s="294" t="s">
        <v>412</v>
      </c>
      <c r="AH443" s="294" t="s">
        <v>387</v>
      </c>
      <c r="AI443" s="301">
        <v>0</v>
      </c>
    </row>
    <row r="444" spans="27:35" ht="16" customHeight="1">
      <c r="AA444" s="299">
        <v>2019</v>
      </c>
      <c r="AB444" s="299">
        <v>2670</v>
      </c>
      <c r="AC444" s="300" t="s">
        <v>257</v>
      </c>
      <c r="AD444" s="299">
        <v>755</v>
      </c>
      <c r="AE444" s="299">
        <v>66</v>
      </c>
      <c r="AF444" s="294" t="s">
        <v>385</v>
      </c>
      <c r="AG444" s="294" t="s">
        <v>412</v>
      </c>
      <c r="AH444" s="294" t="s">
        <v>388</v>
      </c>
      <c r="AI444" s="301">
        <v>12144000</v>
      </c>
    </row>
    <row r="445" spans="27:35" ht="16" customHeight="1">
      <c r="AA445" s="299">
        <v>2019</v>
      </c>
      <c r="AB445" s="299">
        <v>2670</v>
      </c>
      <c r="AC445" s="300" t="s">
        <v>257</v>
      </c>
      <c r="AD445" s="299">
        <v>755</v>
      </c>
      <c r="AE445" s="299">
        <v>67</v>
      </c>
      <c r="AF445" s="294" t="s">
        <v>385</v>
      </c>
      <c r="AG445" s="294" t="s">
        <v>412</v>
      </c>
      <c r="AH445" s="294" t="s">
        <v>389</v>
      </c>
      <c r="AI445" s="301">
        <v>43709000</v>
      </c>
    </row>
    <row r="446" spans="27:35" ht="16" customHeight="1">
      <c r="AA446" s="299">
        <v>2019</v>
      </c>
      <c r="AB446" s="299">
        <v>2670</v>
      </c>
      <c r="AC446" s="300" t="s">
        <v>257</v>
      </c>
      <c r="AD446" s="299">
        <v>755</v>
      </c>
      <c r="AE446" s="299">
        <v>68</v>
      </c>
      <c r="AF446" s="294" t="s">
        <v>385</v>
      </c>
      <c r="AG446" s="294" t="s">
        <v>412</v>
      </c>
      <c r="AH446" s="294" t="s">
        <v>390</v>
      </c>
      <c r="AI446" s="301">
        <v>83397000</v>
      </c>
    </row>
    <row r="447" spans="27:35" ht="16" customHeight="1">
      <c r="AA447" s="299">
        <v>2019</v>
      </c>
      <c r="AB447" s="299">
        <v>2670</v>
      </c>
      <c r="AC447" s="300" t="s">
        <v>257</v>
      </c>
      <c r="AD447" s="299">
        <v>755</v>
      </c>
      <c r="AE447" s="299">
        <v>69</v>
      </c>
      <c r="AF447" s="294" t="s">
        <v>385</v>
      </c>
      <c r="AG447" s="294" t="s">
        <v>412</v>
      </c>
      <c r="AH447" s="294" t="s">
        <v>391</v>
      </c>
      <c r="AI447" s="301">
        <v>23188000</v>
      </c>
    </row>
    <row r="448" spans="27:35" ht="16" customHeight="1">
      <c r="AA448" s="299">
        <v>2019</v>
      </c>
      <c r="AB448" s="299">
        <v>2670</v>
      </c>
      <c r="AC448" s="300" t="s">
        <v>257</v>
      </c>
      <c r="AD448" s="299">
        <v>755</v>
      </c>
      <c r="AE448" s="299">
        <v>70</v>
      </c>
      <c r="AF448" s="294" t="s">
        <v>385</v>
      </c>
      <c r="AG448" s="294" t="s">
        <v>412</v>
      </c>
      <c r="AH448" s="294" t="s">
        <v>392</v>
      </c>
      <c r="AI448" s="301">
        <v>349962000</v>
      </c>
    </row>
    <row r="449" spans="27:35" ht="16" customHeight="1">
      <c r="AA449" s="299">
        <v>2019</v>
      </c>
      <c r="AB449" s="299">
        <v>2670</v>
      </c>
      <c r="AC449" s="300" t="s">
        <v>257</v>
      </c>
      <c r="AD449" s="299">
        <v>755</v>
      </c>
      <c r="AE449" s="299">
        <v>71</v>
      </c>
      <c r="AF449" s="294" t="s">
        <v>385</v>
      </c>
      <c r="AG449" s="294" t="s">
        <v>412</v>
      </c>
      <c r="AH449" s="294" t="s">
        <v>393</v>
      </c>
      <c r="AI449" s="301">
        <v>61864000</v>
      </c>
    </row>
    <row r="450" spans="27:35" ht="16" customHeight="1">
      <c r="AA450" s="299">
        <v>2019</v>
      </c>
      <c r="AB450" s="299">
        <v>2670</v>
      </c>
      <c r="AC450" s="300" t="s">
        <v>257</v>
      </c>
      <c r="AD450" s="299">
        <v>755</v>
      </c>
      <c r="AE450" s="299">
        <v>72</v>
      </c>
      <c r="AF450" s="294" t="s">
        <v>385</v>
      </c>
      <c r="AG450" s="294" t="s">
        <v>412</v>
      </c>
      <c r="AH450" s="294" t="s">
        <v>394</v>
      </c>
      <c r="AI450" s="301">
        <v>107275000</v>
      </c>
    </row>
    <row r="451" spans="27:35" ht="16" customHeight="1">
      <c r="AA451" s="299">
        <v>2019</v>
      </c>
      <c r="AB451" s="299">
        <v>2670</v>
      </c>
      <c r="AC451" s="300" t="s">
        <v>257</v>
      </c>
      <c r="AD451" s="299">
        <v>755</v>
      </c>
      <c r="AE451" s="299">
        <v>73</v>
      </c>
      <c r="AF451" s="294" t="s">
        <v>385</v>
      </c>
      <c r="AG451" s="294" t="s">
        <v>412</v>
      </c>
      <c r="AH451" s="294" t="s">
        <v>395</v>
      </c>
      <c r="AI451" s="301">
        <v>4545000</v>
      </c>
    </row>
    <row r="452" spans="27:35" ht="16" customHeight="1">
      <c r="AA452" s="299">
        <v>2019</v>
      </c>
      <c r="AB452" s="299">
        <v>2670</v>
      </c>
      <c r="AC452" s="300" t="s">
        <v>257</v>
      </c>
      <c r="AD452" s="299">
        <v>755</v>
      </c>
      <c r="AE452" s="299">
        <v>74</v>
      </c>
      <c r="AF452" s="294" t="s">
        <v>385</v>
      </c>
      <c r="AG452" s="294" t="s">
        <v>412</v>
      </c>
      <c r="AH452" s="294" t="s">
        <v>396</v>
      </c>
      <c r="AI452" s="301">
        <v>3434000</v>
      </c>
    </row>
    <row r="453" spans="27:35" ht="16" customHeight="1">
      <c r="AA453" s="299">
        <v>2019</v>
      </c>
      <c r="AB453" s="299">
        <v>2670</v>
      </c>
      <c r="AC453" s="300" t="s">
        <v>257</v>
      </c>
      <c r="AD453" s="299">
        <v>755</v>
      </c>
      <c r="AE453" s="299">
        <v>75</v>
      </c>
      <c r="AF453" s="294" t="s">
        <v>385</v>
      </c>
      <c r="AG453" s="294" t="s">
        <v>412</v>
      </c>
      <c r="AH453" s="294" t="s">
        <v>397</v>
      </c>
      <c r="AI453" s="301">
        <v>29712000</v>
      </c>
    </row>
    <row r="454" spans="27:35" ht="16" customHeight="1">
      <c r="AA454" s="299">
        <v>2019</v>
      </c>
      <c r="AB454" s="299">
        <v>2670</v>
      </c>
      <c r="AC454" s="300" t="s">
        <v>257</v>
      </c>
      <c r="AD454" s="299">
        <v>755</v>
      </c>
      <c r="AE454" s="299">
        <v>76</v>
      </c>
      <c r="AF454" s="294" t="s">
        <v>385</v>
      </c>
      <c r="AG454" s="294" t="s">
        <v>412</v>
      </c>
      <c r="AH454" s="294" t="s">
        <v>398</v>
      </c>
      <c r="AI454" s="301">
        <v>160842000</v>
      </c>
    </row>
    <row r="455" spans="27:35" ht="16" customHeight="1">
      <c r="AA455" s="299">
        <v>2019</v>
      </c>
      <c r="AB455" s="299">
        <v>2670</v>
      </c>
      <c r="AC455" s="300" t="s">
        <v>257</v>
      </c>
      <c r="AD455" s="299">
        <v>755</v>
      </c>
      <c r="AE455" s="299">
        <v>77</v>
      </c>
      <c r="AF455" s="294" t="s">
        <v>385</v>
      </c>
      <c r="AG455" s="294" t="s">
        <v>412</v>
      </c>
      <c r="AH455" s="294" t="s">
        <v>399</v>
      </c>
      <c r="AI455" s="301">
        <v>0</v>
      </c>
    </row>
    <row r="456" spans="27:35" ht="16" customHeight="1">
      <c r="AA456" s="299">
        <v>2019</v>
      </c>
      <c r="AB456" s="299">
        <v>2670</v>
      </c>
      <c r="AC456" s="300" t="s">
        <v>257</v>
      </c>
      <c r="AD456" s="299">
        <v>755</v>
      </c>
      <c r="AE456" s="299">
        <v>78</v>
      </c>
      <c r="AF456" s="294" t="s">
        <v>385</v>
      </c>
      <c r="AG456" s="294" t="s">
        <v>412</v>
      </c>
      <c r="AH456" s="294" t="s">
        <v>400</v>
      </c>
      <c r="AI456" s="301">
        <v>57521000</v>
      </c>
    </row>
    <row r="457" spans="27:35" ht="16" customHeight="1">
      <c r="AA457" s="299">
        <v>2019</v>
      </c>
      <c r="AB457" s="299">
        <v>2670</v>
      </c>
      <c r="AC457" s="300" t="s">
        <v>257</v>
      </c>
      <c r="AD457" s="299">
        <v>755</v>
      </c>
      <c r="AE457" s="299">
        <v>79</v>
      </c>
      <c r="AF457" s="294" t="s">
        <v>385</v>
      </c>
      <c r="AG457" s="294" t="s">
        <v>412</v>
      </c>
      <c r="AH457" s="294" t="s">
        <v>408</v>
      </c>
      <c r="AI457" s="301">
        <v>105056000</v>
      </c>
    </row>
    <row r="458" spans="27:35" ht="16" customHeight="1">
      <c r="AA458" s="299">
        <v>2019</v>
      </c>
      <c r="AB458" s="299">
        <v>2670</v>
      </c>
      <c r="AC458" s="300" t="s">
        <v>257</v>
      </c>
      <c r="AD458" s="299">
        <v>755</v>
      </c>
      <c r="AE458" s="299">
        <v>80</v>
      </c>
      <c r="AF458" s="294" t="s">
        <v>385</v>
      </c>
      <c r="AG458" s="294" t="s">
        <v>412</v>
      </c>
      <c r="AH458" s="294" t="s">
        <v>409</v>
      </c>
      <c r="AI458" s="301">
        <v>295185000</v>
      </c>
    </row>
    <row r="459" spans="27:35" ht="16" customHeight="1">
      <c r="AA459" s="299">
        <v>2019</v>
      </c>
      <c r="AB459" s="299">
        <v>2670</v>
      </c>
      <c r="AC459" s="300" t="s">
        <v>257</v>
      </c>
      <c r="AD459" s="299">
        <v>755</v>
      </c>
      <c r="AE459" s="299">
        <v>81</v>
      </c>
      <c r="AF459" s="294" t="s">
        <v>385</v>
      </c>
      <c r="AG459" s="294" t="s">
        <v>413</v>
      </c>
      <c r="AH459" s="294" t="s">
        <v>402</v>
      </c>
      <c r="AI459" s="301">
        <v>6596000</v>
      </c>
    </row>
    <row r="460" spans="27:35" ht="16" customHeight="1">
      <c r="AA460" s="299">
        <v>2019</v>
      </c>
      <c r="AB460" s="299">
        <v>2670</v>
      </c>
      <c r="AC460" s="300" t="s">
        <v>257</v>
      </c>
      <c r="AD460" s="299">
        <v>755</v>
      </c>
      <c r="AE460" s="299">
        <v>82</v>
      </c>
      <c r="AF460" s="294" t="s">
        <v>385</v>
      </c>
      <c r="AG460" s="294" t="s">
        <v>413</v>
      </c>
      <c r="AH460" s="294" t="s">
        <v>414</v>
      </c>
      <c r="AI460" s="301">
        <v>1344430000</v>
      </c>
    </row>
    <row r="461" spans="27:35" ht="16" customHeight="1">
      <c r="AA461" s="299">
        <v>2019</v>
      </c>
      <c r="AB461" s="299">
        <v>2670</v>
      </c>
      <c r="AC461" s="300" t="s">
        <v>257</v>
      </c>
      <c r="AD461" s="299">
        <v>755</v>
      </c>
      <c r="AE461" s="299">
        <v>83</v>
      </c>
      <c r="AF461" s="294" t="s">
        <v>377</v>
      </c>
      <c r="AG461" s="294" t="s">
        <v>378</v>
      </c>
      <c r="AH461" s="294" t="s">
        <v>415</v>
      </c>
      <c r="AI461" s="301">
        <v>49702000</v>
      </c>
    </row>
    <row r="462" spans="27:35" ht="16" customHeight="1">
      <c r="AA462" s="299">
        <v>2019</v>
      </c>
      <c r="AB462" s="299">
        <v>2670</v>
      </c>
      <c r="AC462" s="300" t="s">
        <v>257</v>
      </c>
      <c r="AD462" s="299">
        <v>755</v>
      </c>
      <c r="AE462" s="299">
        <v>84</v>
      </c>
      <c r="AF462" s="294" t="s">
        <v>377</v>
      </c>
      <c r="AG462" s="294" t="s">
        <v>378</v>
      </c>
      <c r="AH462" s="294" t="s">
        <v>416</v>
      </c>
      <c r="AI462" s="301">
        <v>0</v>
      </c>
    </row>
    <row r="463" spans="27:35" ht="16" customHeight="1">
      <c r="AA463" s="299">
        <v>2019</v>
      </c>
      <c r="AB463" s="299">
        <v>2670</v>
      </c>
      <c r="AC463" s="300" t="s">
        <v>257</v>
      </c>
      <c r="AD463" s="299">
        <v>755</v>
      </c>
      <c r="AE463" s="299">
        <v>85</v>
      </c>
      <c r="AF463" s="294" t="s">
        <v>339</v>
      </c>
      <c r="AG463" s="294" t="s">
        <v>340</v>
      </c>
      <c r="AH463" s="294" t="s">
        <v>322</v>
      </c>
      <c r="AI463" s="301">
        <v>1212052000</v>
      </c>
    </row>
    <row r="464" spans="27:35" ht="16" customHeight="1">
      <c r="AA464" s="299">
        <v>2019</v>
      </c>
      <c r="AB464" s="299">
        <v>2670</v>
      </c>
      <c r="AC464" s="300" t="s">
        <v>257</v>
      </c>
      <c r="AD464" s="299">
        <v>755</v>
      </c>
      <c r="AE464" s="299">
        <v>86</v>
      </c>
      <c r="AF464" s="294" t="s">
        <v>339</v>
      </c>
      <c r="AG464" s="294" t="s">
        <v>340</v>
      </c>
      <c r="AH464" s="294" t="s">
        <v>323</v>
      </c>
      <c r="AI464" s="301">
        <v>466153000</v>
      </c>
    </row>
    <row r="465" spans="27:35" ht="16" customHeight="1">
      <c r="AA465" s="299">
        <v>2019</v>
      </c>
      <c r="AB465" s="299">
        <v>2670</v>
      </c>
      <c r="AC465" s="300" t="s">
        <v>257</v>
      </c>
      <c r="AD465" s="299">
        <v>755</v>
      </c>
      <c r="AE465" s="299">
        <v>87</v>
      </c>
      <c r="AF465" s="294" t="s">
        <v>339</v>
      </c>
      <c r="AG465" s="294" t="s">
        <v>341</v>
      </c>
      <c r="AH465" s="294" t="s">
        <v>325</v>
      </c>
      <c r="AI465" s="301">
        <v>2891781000</v>
      </c>
    </row>
    <row r="466" spans="27:35" ht="16" customHeight="1">
      <c r="AA466" s="299">
        <v>2019</v>
      </c>
      <c r="AB466" s="299">
        <v>2670</v>
      </c>
      <c r="AC466" s="300" t="s">
        <v>257</v>
      </c>
      <c r="AD466" s="299">
        <v>755</v>
      </c>
      <c r="AE466" s="299">
        <v>88</v>
      </c>
      <c r="AF466" s="294" t="s">
        <v>339</v>
      </c>
      <c r="AG466" s="294" t="s">
        <v>341</v>
      </c>
      <c r="AH466" s="294" t="s">
        <v>342</v>
      </c>
      <c r="AI466" s="301">
        <v>4569986000</v>
      </c>
    </row>
    <row r="467" spans="27:35" ht="16" customHeight="1">
      <c r="AA467" s="299">
        <v>2019</v>
      </c>
      <c r="AB467" s="299">
        <v>2670</v>
      </c>
      <c r="AC467" s="300" t="s">
        <v>257</v>
      </c>
      <c r="AD467" s="299">
        <v>755</v>
      </c>
      <c r="AE467" s="299">
        <v>89</v>
      </c>
      <c r="AF467" s="294" t="s">
        <v>377</v>
      </c>
      <c r="AG467" s="294" t="s">
        <v>378</v>
      </c>
      <c r="AH467" s="294" t="s">
        <v>379</v>
      </c>
      <c r="AI467" s="301">
        <v>73000</v>
      </c>
    </row>
    <row r="468" spans="27:35" ht="16" customHeight="1">
      <c r="AA468" s="299">
        <v>2019</v>
      </c>
      <c r="AB468" s="299">
        <v>2670</v>
      </c>
      <c r="AC468" s="300" t="s">
        <v>257</v>
      </c>
      <c r="AD468" s="299">
        <v>755</v>
      </c>
      <c r="AE468" s="299">
        <v>98</v>
      </c>
      <c r="AF468" s="294" t="s">
        <v>343</v>
      </c>
      <c r="AG468" s="294" t="s">
        <v>380</v>
      </c>
      <c r="AH468" s="294" t="s">
        <v>381</v>
      </c>
      <c r="AI468" s="301">
        <v>28856795000</v>
      </c>
    </row>
    <row r="469" spans="27:35" ht="16" customHeight="1">
      <c r="AA469" s="299">
        <v>2019</v>
      </c>
      <c r="AB469" s="299">
        <v>2670</v>
      </c>
      <c r="AC469" s="300" t="s">
        <v>257</v>
      </c>
      <c r="AD469" s="299">
        <v>755</v>
      </c>
      <c r="AE469" s="299">
        <v>99</v>
      </c>
      <c r="AF469" s="294" t="s">
        <v>343</v>
      </c>
      <c r="AG469" s="294" t="s">
        <v>344</v>
      </c>
      <c r="AH469" s="294" t="s">
        <v>322</v>
      </c>
      <c r="AI469" s="301">
        <v>96362217000</v>
      </c>
    </row>
    <row r="470" spans="27:35" ht="16" customHeight="1">
      <c r="AA470" s="299">
        <v>2019</v>
      </c>
      <c r="AB470" s="299">
        <v>2670</v>
      </c>
      <c r="AC470" s="300" t="s">
        <v>257</v>
      </c>
      <c r="AD470" s="299">
        <v>755</v>
      </c>
      <c r="AE470" s="299">
        <v>100</v>
      </c>
      <c r="AF470" s="294" t="s">
        <v>343</v>
      </c>
      <c r="AG470" s="294" t="s">
        <v>344</v>
      </c>
      <c r="AH470" s="294" t="s">
        <v>323</v>
      </c>
      <c r="AI470" s="301">
        <v>38207173000</v>
      </c>
    </row>
    <row r="471" spans="27:35" ht="16" customHeight="1">
      <c r="AA471" s="299">
        <v>2019</v>
      </c>
      <c r="AB471" s="299">
        <v>2670</v>
      </c>
      <c r="AC471" s="300" t="s">
        <v>257</v>
      </c>
      <c r="AD471" s="299">
        <v>755</v>
      </c>
      <c r="AE471" s="299">
        <v>101</v>
      </c>
      <c r="AF471" s="294" t="s">
        <v>343</v>
      </c>
      <c r="AG471" s="294" t="s">
        <v>344</v>
      </c>
      <c r="AH471" s="294" t="s">
        <v>325</v>
      </c>
      <c r="AI471" s="301">
        <v>251732239000</v>
      </c>
    </row>
    <row r="472" spans="27:35" ht="16" customHeight="1">
      <c r="AA472" s="299">
        <v>2019</v>
      </c>
      <c r="AB472" s="299">
        <v>2670</v>
      </c>
      <c r="AC472" s="300" t="s">
        <v>257</v>
      </c>
      <c r="AD472" s="299">
        <v>755</v>
      </c>
      <c r="AE472" s="299">
        <v>102</v>
      </c>
      <c r="AF472" s="294" t="s">
        <v>343</v>
      </c>
      <c r="AG472" s="294" t="s">
        <v>345</v>
      </c>
      <c r="AH472" s="294" t="s">
        <v>346</v>
      </c>
      <c r="AI472" s="301">
        <v>0</v>
      </c>
    </row>
    <row r="473" spans="27:35" ht="16" customHeight="1">
      <c r="AA473" s="299">
        <v>2019</v>
      </c>
      <c r="AB473" s="299">
        <v>2670</v>
      </c>
      <c r="AC473" s="300" t="s">
        <v>257</v>
      </c>
      <c r="AD473" s="299">
        <v>755</v>
      </c>
      <c r="AE473" s="299">
        <v>103</v>
      </c>
      <c r="AF473" s="294" t="s">
        <v>343</v>
      </c>
      <c r="AG473" s="294" t="s">
        <v>347</v>
      </c>
      <c r="AH473" s="294" t="s">
        <v>348</v>
      </c>
      <c r="AI473" s="301">
        <v>2120408000</v>
      </c>
    </row>
    <row r="474" spans="27:35" ht="16" customHeight="1">
      <c r="AA474" s="299">
        <v>2019</v>
      </c>
      <c r="AB474" s="299">
        <v>2670</v>
      </c>
      <c r="AC474" s="300" t="s">
        <v>257</v>
      </c>
      <c r="AD474" s="299">
        <v>755</v>
      </c>
      <c r="AE474" s="299">
        <v>104</v>
      </c>
      <c r="AF474" s="294" t="s">
        <v>343</v>
      </c>
      <c r="AG474" s="294" t="s">
        <v>349</v>
      </c>
      <c r="AH474" s="294" t="s">
        <v>350</v>
      </c>
      <c r="AI474" s="301">
        <v>417278832000</v>
      </c>
    </row>
    <row r="475" spans="27:35" ht="16" customHeight="1">
      <c r="AA475" s="299">
        <v>2019</v>
      </c>
      <c r="AB475" s="299">
        <v>2670</v>
      </c>
      <c r="AC475" s="300" t="s">
        <v>257</v>
      </c>
      <c r="AD475" s="299">
        <v>755</v>
      </c>
      <c r="AE475" s="299">
        <v>105</v>
      </c>
      <c r="AF475" s="294" t="s">
        <v>351</v>
      </c>
      <c r="AG475" s="294" t="s">
        <v>352</v>
      </c>
      <c r="AH475" s="294" t="s">
        <v>353</v>
      </c>
      <c r="AI475" s="301">
        <v>353597000</v>
      </c>
    </row>
    <row r="476" spans="27:35" ht="16" customHeight="1">
      <c r="AA476" s="299">
        <v>2019</v>
      </c>
      <c r="AB476" s="299">
        <v>2670</v>
      </c>
      <c r="AC476" s="300" t="s">
        <v>257</v>
      </c>
      <c r="AD476" s="299">
        <v>755</v>
      </c>
      <c r="AE476" s="299">
        <v>106</v>
      </c>
      <c r="AF476" s="294" t="s">
        <v>351</v>
      </c>
      <c r="AG476" s="294" t="s">
        <v>354</v>
      </c>
      <c r="AH476" s="294" t="s">
        <v>355</v>
      </c>
      <c r="AI476" s="301">
        <v>918000</v>
      </c>
    </row>
    <row r="477" spans="27:35" ht="16" customHeight="1">
      <c r="AA477" s="299">
        <v>2019</v>
      </c>
      <c r="AB477" s="299">
        <v>2670</v>
      </c>
      <c r="AC477" s="300" t="s">
        <v>257</v>
      </c>
      <c r="AD477" s="299">
        <v>755</v>
      </c>
      <c r="AE477" s="299">
        <v>107</v>
      </c>
      <c r="AF477" s="294" t="s">
        <v>351</v>
      </c>
      <c r="AG477" s="294" t="s">
        <v>356</v>
      </c>
      <c r="AH477" s="294" t="s">
        <v>357</v>
      </c>
      <c r="AI477" s="301">
        <v>354515000</v>
      </c>
    </row>
    <row r="478" spans="27:35" ht="16" customHeight="1">
      <c r="AA478" s="299">
        <v>2019</v>
      </c>
      <c r="AB478" s="299">
        <v>2670</v>
      </c>
      <c r="AC478" s="300" t="s">
        <v>257</v>
      </c>
      <c r="AD478" s="299">
        <v>755</v>
      </c>
      <c r="AE478" s="299">
        <v>108</v>
      </c>
      <c r="AF478" s="294" t="s">
        <v>358</v>
      </c>
      <c r="AG478" s="294" t="s">
        <v>359</v>
      </c>
      <c r="AH478" s="294" t="s">
        <v>360</v>
      </c>
      <c r="AI478" s="301">
        <v>199211391000</v>
      </c>
    </row>
    <row r="479" spans="27:35" ht="16" customHeight="1">
      <c r="AA479" s="299">
        <v>2019</v>
      </c>
      <c r="AB479" s="299">
        <v>2670</v>
      </c>
      <c r="AC479" s="300" t="s">
        <v>257</v>
      </c>
      <c r="AD479" s="299">
        <v>755</v>
      </c>
      <c r="AE479" s="299">
        <v>109</v>
      </c>
      <c r="AF479" s="294" t="s">
        <v>358</v>
      </c>
      <c r="AG479" s="294" t="s">
        <v>359</v>
      </c>
      <c r="AH479" s="294" t="s">
        <v>361</v>
      </c>
      <c r="AI479" s="301">
        <v>0</v>
      </c>
    </row>
    <row r="480" spans="27:35" ht="16" customHeight="1">
      <c r="AA480" s="299">
        <v>2019</v>
      </c>
      <c r="AB480" s="299">
        <v>2670</v>
      </c>
      <c r="AC480" s="300" t="s">
        <v>257</v>
      </c>
      <c r="AD480" s="299">
        <v>755</v>
      </c>
      <c r="AE480" s="299">
        <v>110</v>
      </c>
      <c r="AF480" s="294" t="s">
        <v>358</v>
      </c>
      <c r="AG480" s="294" t="s">
        <v>359</v>
      </c>
      <c r="AH480" s="294" t="s">
        <v>362</v>
      </c>
      <c r="AI480" s="301">
        <v>199211391000</v>
      </c>
    </row>
    <row r="481" spans="27:35" ht="16" customHeight="1">
      <c r="AA481" s="299">
        <v>2019</v>
      </c>
      <c r="AB481" s="299">
        <v>2670</v>
      </c>
      <c r="AC481" s="300" t="s">
        <v>257</v>
      </c>
      <c r="AD481" s="299">
        <v>755</v>
      </c>
      <c r="AE481" s="299">
        <v>111</v>
      </c>
      <c r="AF481" s="294" t="s">
        <v>358</v>
      </c>
      <c r="AG481" s="294" t="s">
        <v>363</v>
      </c>
      <c r="AH481" s="294" t="s">
        <v>364</v>
      </c>
      <c r="AI481" s="301">
        <v>40879000</v>
      </c>
    </row>
    <row r="482" spans="27:35" ht="16" customHeight="1">
      <c r="AA482" s="299">
        <v>2019</v>
      </c>
      <c r="AB482" s="299">
        <v>2670</v>
      </c>
      <c r="AC482" s="300" t="s">
        <v>257</v>
      </c>
      <c r="AD482" s="299">
        <v>755</v>
      </c>
      <c r="AE482" s="299">
        <v>112</v>
      </c>
      <c r="AF482" s="294" t="s">
        <v>358</v>
      </c>
      <c r="AG482" s="294" t="s">
        <v>363</v>
      </c>
      <c r="AH482" s="294" t="s">
        <v>365</v>
      </c>
      <c r="AI482" s="301">
        <v>0</v>
      </c>
    </row>
    <row r="483" spans="27:35" ht="16" customHeight="1">
      <c r="AA483" s="299">
        <v>2019</v>
      </c>
      <c r="AB483" s="299">
        <v>2670</v>
      </c>
      <c r="AC483" s="300" t="s">
        <v>257</v>
      </c>
      <c r="AD483" s="299">
        <v>755</v>
      </c>
      <c r="AE483" s="299">
        <v>113</v>
      </c>
      <c r="AF483" s="294" t="s">
        <v>358</v>
      </c>
      <c r="AG483" s="294" t="s">
        <v>363</v>
      </c>
      <c r="AH483" s="294" t="s">
        <v>366</v>
      </c>
      <c r="AI483" s="301">
        <v>40879000</v>
      </c>
    </row>
    <row r="484" spans="27:35" ht="16" customHeight="1">
      <c r="AA484" s="299">
        <v>2019</v>
      </c>
      <c r="AB484" s="299">
        <v>2670</v>
      </c>
      <c r="AC484" s="300" t="s">
        <v>257</v>
      </c>
      <c r="AD484" s="299">
        <v>755</v>
      </c>
      <c r="AE484" s="299">
        <v>114</v>
      </c>
      <c r="AF484" s="294" t="s">
        <v>358</v>
      </c>
      <c r="AG484" s="294" t="s">
        <v>367</v>
      </c>
      <c r="AH484" s="294" t="s">
        <v>368</v>
      </c>
      <c r="AI484" s="301">
        <v>199252270000</v>
      </c>
    </row>
    <row r="485" spans="27:35" ht="16" customHeight="1">
      <c r="AA485" s="299">
        <v>2019</v>
      </c>
      <c r="AB485" s="299">
        <v>2670</v>
      </c>
      <c r="AC485" s="300" t="s">
        <v>257</v>
      </c>
      <c r="AD485" s="299">
        <v>755</v>
      </c>
      <c r="AE485" s="299">
        <v>115</v>
      </c>
      <c r="AF485" s="294" t="s">
        <v>369</v>
      </c>
      <c r="AG485" s="294" t="s">
        <v>370</v>
      </c>
      <c r="AH485" s="294" t="s">
        <v>371</v>
      </c>
      <c r="AI485" s="301">
        <v>3034188</v>
      </c>
    </row>
    <row r="486" spans="27:35" ht="16" customHeight="1">
      <c r="AA486" s="299">
        <v>2019</v>
      </c>
      <c r="AB486" s="299">
        <v>2670</v>
      </c>
      <c r="AC486" s="300" t="s">
        <v>257</v>
      </c>
      <c r="AD486" s="299">
        <v>755</v>
      </c>
      <c r="AE486" s="299">
        <v>116</v>
      </c>
      <c r="AF486" s="294" t="s">
        <v>369</v>
      </c>
      <c r="AG486" s="294" t="s">
        <v>372</v>
      </c>
      <c r="AH486" s="294" t="s">
        <v>373</v>
      </c>
      <c r="AI486" s="301">
        <v>588417</v>
      </c>
    </row>
    <row r="487" spans="27:35" ht="16" customHeight="1">
      <c r="AA487" s="299">
        <v>2019</v>
      </c>
      <c r="AB487" s="299">
        <v>2670</v>
      </c>
      <c r="AC487" s="300" t="s">
        <v>257</v>
      </c>
      <c r="AD487" s="299">
        <v>755</v>
      </c>
      <c r="AE487" s="299">
        <v>117</v>
      </c>
      <c r="AF487" s="294" t="s">
        <v>374</v>
      </c>
      <c r="AG487" s="294" t="s">
        <v>375</v>
      </c>
      <c r="AH487" s="294" t="s">
        <v>376</v>
      </c>
      <c r="AI487" s="301">
        <v>1634797</v>
      </c>
    </row>
    <row r="488" spans="27:35" ht="16" customHeight="1">
      <c r="AA488" s="299">
        <v>2019</v>
      </c>
      <c r="AB488" s="299">
        <v>2670</v>
      </c>
      <c r="AC488" s="300" t="s">
        <v>257</v>
      </c>
      <c r="AD488" s="299">
        <v>755</v>
      </c>
      <c r="AE488" s="299">
        <v>118</v>
      </c>
      <c r="AF488" s="294" t="s">
        <v>417</v>
      </c>
      <c r="AG488" s="294" t="s">
        <v>418</v>
      </c>
      <c r="AH488" s="294" t="s">
        <v>419</v>
      </c>
      <c r="AI488" s="301">
        <v>1050814</v>
      </c>
    </row>
    <row r="489" spans="27:35" ht="16" customHeight="1">
      <c r="AA489" s="299">
        <v>2019</v>
      </c>
      <c r="AB489" s="299">
        <v>2670</v>
      </c>
      <c r="AC489" s="300" t="s">
        <v>257</v>
      </c>
      <c r="AD489" s="299">
        <v>755</v>
      </c>
      <c r="AE489" s="299">
        <v>119</v>
      </c>
      <c r="AF489" s="294" t="s">
        <v>417</v>
      </c>
      <c r="AG489" s="294" t="s">
        <v>418</v>
      </c>
      <c r="AH489" s="294" t="s">
        <v>420</v>
      </c>
      <c r="AI489" s="301">
        <v>0</v>
      </c>
    </row>
    <row r="490" spans="27:35" ht="16" customHeight="1">
      <c r="AA490" s="299">
        <v>2019</v>
      </c>
      <c r="AB490" s="299">
        <v>2670</v>
      </c>
      <c r="AC490" s="300" t="s">
        <v>257</v>
      </c>
      <c r="AD490" s="299">
        <v>755</v>
      </c>
      <c r="AE490" s="299">
        <v>120</v>
      </c>
      <c r="AF490" s="294" t="s">
        <v>421</v>
      </c>
      <c r="AG490" s="294" t="s">
        <v>422</v>
      </c>
      <c r="AH490" s="294" t="s">
        <v>322</v>
      </c>
      <c r="AI490" s="301">
        <v>1063273</v>
      </c>
    </row>
    <row r="491" spans="27:35" ht="16" customHeight="1">
      <c r="AA491" s="299">
        <v>2019</v>
      </c>
      <c r="AB491" s="299">
        <v>2670</v>
      </c>
      <c r="AC491" s="300" t="s">
        <v>257</v>
      </c>
      <c r="AD491" s="299">
        <v>755</v>
      </c>
      <c r="AE491" s="299">
        <v>121</v>
      </c>
      <c r="AF491" s="294" t="s">
        <v>421</v>
      </c>
      <c r="AG491" s="294" t="s">
        <v>422</v>
      </c>
      <c r="AH491" s="294" t="s">
        <v>323</v>
      </c>
      <c r="AI491" s="301">
        <v>2999171</v>
      </c>
    </row>
    <row r="492" spans="27:35" ht="16" customHeight="1">
      <c r="AA492" s="299">
        <v>2019</v>
      </c>
      <c r="AB492" s="299">
        <v>2670</v>
      </c>
      <c r="AC492" s="300" t="s">
        <v>257</v>
      </c>
      <c r="AD492" s="299">
        <v>755</v>
      </c>
      <c r="AE492" s="299">
        <v>122</v>
      </c>
      <c r="AF492" s="294" t="s">
        <v>421</v>
      </c>
      <c r="AG492" s="294" t="s">
        <v>422</v>
      </c>
      <c r="AH492" s="294" t="s">
        <v>325</v>
      </c>
      <c r="AI492" s="301">
        <v>4383780</v>
      </c>
    </row>
    <row r="493" spans="27:35" ht="16" customHeight="1">
      <c r="AA493" s="299">
        <v>2019</v>
      </c>
      <c r="AB493" s="299">
        <v>2670</v>
      </c>
      <c r="AC493" s="300" t="s">
        <v>257</v>
      </c>
      <c r="AD493" s="299">
        <v>755</v>
      </c>
      <c r="AE493" s="299">
        <v>123</v>
      </c>
      <c r="AF493" s="294" t="s">
        <v>423</v>
      </c>
      <c r="AG493" s="294" t="s">
        <v>424</v>
      </c>
      <c r="AH493" s="294" t="s">
        <v>425</v>
      </c>
      <c r="AI493" s="301">
        <v>4604194</v>
      </c>
    </row>
    <row r="494" spans="27:35" ht="16" customHeight="1">
      <c r="AA494" s="299">
        <v>2019</v>
      </c>
      <c r="AB494" s="299">
        <v>2670</v>
      </c>
      <c r="AC494" s="300" t="s">
        <v>257</v>
      </c>
      <c r="AD494" s="299">
        <v>755</v>
      </c>
      <c r="AE494" s="299">
        <v>124</v>
      </c>
      <c r="AF494" s="294" t="s">
        <v>426</v>
      </c>
      <c r="AG494" s="294" t="s">
        <v>427</v>
      </c>
      <c r="AH494" s="294" t="s">
        <v>428</v>
      </c>
      <c r="AI494" s="301">
        <v>5061004</v>
      </c>
    </row>
    <row r="495" spans="27:35" ht="16" customHeight="1">
      <c r="AA495" s="299">
        <v>2019</v>
      </c>
      <c r="AB495" s="299">
        <v>2670</v>
      </c>
      <c r="AC495" s="300" t="s">
        <v>257</v>
      </c>
      <c r="AD495" s="299">
        <v>755</v>
      </c>
      <c r="AE495" s="299">
        <v>125</v>
      </c>
      <c r="AF495" s="294" t="s">
        <v>429</v>
      </c>
      <c r="AG495" s="294" t="s">
        <v>430</v>
      </c>
      <c r="AH495" s="294" t="s">
        <v>431</v>
      </c>
      <c r="AI495" s="301">
        <v>0</v>
      </c>
    </row>
    <row r="496" spans="27:35" ht="16" customHeight="1">
      <c r="AA496" s="299">
        <v>2019</v>
      </c>
      <c r="AB496" s="299">
        <v>2670</v>
      </c>
      <c r="AC496" s="300" t="s">
        <v>257</v>
      </c>
      <c r="AD496" s="299">
        <v>755</v>
      </c>
      <c r="AE496" s="299">
        <v>126</v>
      </c>
      <c r="AF496" s="294" t="s">
        <v>432</v>
      </c>
      <c r="AG496" s="294" t="s">
        <v>433</v>
      </c>
      <c r="AH496" s="294" t="s">
        <v>434</v>
      </c>
      <c r="AI496" s="301">
        <v>11470433</v>
      </c>
    </row>
    <row r="497" spans="27:35" ht="16" customHeight="1">
      <c r="AA497" s="299">
        <v>2019</v>
      </c>
      <c r="AB497" s="299">
        <v>2670</v>
      </c>
      <c r="AC497" s="300" t="s">
        <v>257</v>
      </c>
      <c r="AD497" s="299">
        <v>755</v>
      </c>
      <c r="AE497" s="299">
        <v>127</v>
      </c>
      <c r="AF497" s="294" t="s">
        <v>432</v>
      </c>
      <c r="AG497" s="294" t="s">
        <v>433</v>
      </c>
      <c r="AH497" s="294" t="s">
        <v>435</v>
      </c>
      <c r="AI497" s="301">
        <v>3064178</v>
      </c>
    </row>
    <row r="498" spans="27:35" ht="16" customHeight="1">
      <c r="AA498" s="299">
        <v>2019</v>
      </c>
      <c r="AB498" s="299">
        <v>2670</v>
      </c>
      <c r="AC498" s="300" t="s">
        <v>257</v>
      </c>
      <c r="AD498" s="299">
        <v>755</v>
      </c>
      <c r="AE498" s="299">
        <v>128</v>
      </c>
      <c r="AF498" s="294" t="s">
        <v>432</v>
      </c>
      <c r="AG498" s="294" t="s">
        <v>433</v>
      </c>
      <c r="AH498" s="294" t="s">
        <v>158</v>
      </c>
      <c r="AI498" s="301">
        <v>1556958</v>
      </c>
    </row>
    <row r="499" spans="27:35" ht="16" customHeight="1">
      <c r="AA499" s="299">
        <v>2019</v>
      </c>
      <c r="AB499" s="299">
        <v>2670</v>
      </c>
      <c r="AC499" s="300" t="s">
        <v>257</v>
      </c>
      <c r="AD499" s="299">
        <v>755</v>
      </c>
      <c r="AE499" s="299">
        <v>129</v>
      </c>
      <c r="AF499" s="294" t="s">
        <v>432</v>
      </c>
      <c r="AG499" s="294" t="s">
        <v>433</v>
      </c>
      <c r="AH499" s="294" t="s">
        <v>436</v>
      </c>
      <c r="AI499" s="301">
        <v>16091569</v>
      </c>
    </row>
    <row r="500" spans="27:35" ht="16" customHeight="1">
      <c r="AA500" s="299">
        <v>2019</v>
      </c>
      <c r="AB500" s="299">
        <v>2670</v>
      </c>
      <c r="AC500" s="300" t="s">
        <v>257</v>
      </c>
      <c r="AD500" s="299">
        <v>755</v>
      </c>
      <c r="AE500" s="299">
        <v>130</v>
      </c>
      <c r="AF500" s="294" t="s">
        <v>437</v>
      </c>
      <c r="AG500" s="294" t="s">
        <v>438</v>
      </c>
      <c r="AH500" s="294" t="s">
        <v>439</v>
      </c>
      <c r="AI500" s="301">
        <v>13605</v>
      </c>
    </row>
    <row r="501" spans="27:35" ht="16" customHeight="1">
      <c r="AA501" s="299">
        <v>2019</v>
      </c>
      <c r="AB501" s="299">
        <v>2670</v>
      </c>
      <c r="AC501" s="300" t="s">
        <v>257</v>
      </c>
      <c r="AD501" s="299">
        <v>755</v>
      </c>
      <c r="AE501" s="299">
        <v>131</v>
      </c>
      <c r="AF501" s="294" t="s">
        <v>437</v>
      </c>
      <c r="AG501" s="294" t="s">
        <v>438</v>
      </c>
      <c r="AH501" s="294" t="s">
        <v>440</v>
      </c>
      <c r="AI501" s="301">
        <v>64</v>
      </c>
    </row>
    <row r="502" spans="27:35" ht="16" customHeight="1">
      <c r="AA502" s="299">
        <v>2019</v>
      </c>
      <c r="AB502" s="299">
        <v>2670</v>
      </c>
      <c r="AC502" s="300" t="s">
        <v>257</v>
      </c>
      <c r="AD502" s="299">
        <v>755</v>
      </c>
      <c r="AE502" s="299">
        <v>132</v>
      </c>
      <c r="AF502" s="294" t="s">
        <v>437</v>
      </c>
      <c r="AG502" s="294" t="s">
        <v>441</v>
      </c>
      <c r="AH502" s="294" t="s">
        <v>442</v>
      </c>
      <c r="AI502" s="301">
        <v>0</v>
      </c>
    </row>
    <row r="503" spans="27:35" ht="16" customHeight="1">
      <c r="AA503" s="299">
        <v>2019</v>
      </c>
      <c r="AB503" s="299">
        <v>2670</v>
      </c>
      <c r="AC503" s="300" t="s">
        <v>257</v>
      </c>
      <c r="AD503" s="299">
        <v>755</v>
      </c>
      <c r="AE503" s="299">
        <v>133</v>
      </c>
      <c r="AF503" s="294" t="s">
        <v>437</v>
      </c>
      <c r="AG503" s="294" t="s">
        <v>443</v>
      </c>
      <c r="AH503" s="294" t="s">
        <v>444</v>
      </c>
      <c r="AI503" s="301">
        <v>13669</v>
      </c>
    </row>
    <row r="504" spans="27:35" ht="16" customHeight="1">
      <c r="AA504" s="299">
        <v>2019</v>
      </c>
      <c r="AB504" s="299">
        <v>2670</v>
      </c>
      <c r="AC504" s="300" t="s">
        <v>257</v>
      </c>
      <c r="AD504" s="299">
        <v>755</v>
      </c>
      <c r="AE504" s="299">
        <v>134</v>
      </c>
      <c r="AF504" s="294" t="s">
        <v>445</v>
      </c>
      <c r="AG504" s="294" t="s">
        <v>446</v>
      </c>
      <c r="AH504" s="294" t="s">
        <v>447</v>
      </c>
      <c r="AI504" s="301">
        <v>453</v>
      </c>
    </row>
    <row r="505" spans="27:35" ht="16" customHeight="1">
      <c r="AA505" s="299">
        <v>2019</v>
      </c>
      <c r="AB505" s="299">
        <v>3050</v>
      </c>
      <c r="AC505" s="300" t="s">
        <v>254</v>
      </c>
      <c r="AD505" s="299">
        <v>755</v>
      </c>
      <c r="AE505" s="299">
        <v>1</v>
      </c>
      <c r="AF505" s="294" t="s">
        <v>382</v>
      </c>
      <c r="AG505" s="294" t="s">
        <v>383</v>
      </c>
      <c r="AH505" s="294" t="s">
        <v>384</v>
      </c>
      <c r="AI505" s="301">
        <v>32619</v>
      </c>
    </row>
    <row r="506" spans="27:35" ht="16" customHeight="1">
      <c r="AA506" s="299">
        <v>2019</v>
      </c>
      <c r="AB506" s="299">
        <v>3050</v>
      </c>
      <c r="AC506" s="300" t="s">
        <v>254</v>
      </c>
      <c r="AD506" s="299">
        <v>755</v>
      </c>
      <c r="AE506" s="299">
        <v>2</v>
      </c>
      <c r="AF506" s="294" t="s">
        <v>320</v>
      </c>
      <c r="AG506" s="294" t="s">
        <v>321</v>
      </c>
      <c r="AH506" s="294" t="s">
        <v>322</v>
      </c>
      <c r="AI506" s="301">
        <v>59073862</v>
      </c>
    </row>
    <row r="507" spans="27:35" ht="16" customHeight="1">
      <c r="AA507" s="299">
        <v>2019</v>
      </c>
      <c r="AB507" s="299">
        <v>3050</v>
      </c>
      <c r="AC507" s="300" t="s">
        <v>254</v>
      </c>
      <c r="AD507" s="299">
        <v>755</v>
      </c>
      <c r="AE507" s="299">
        <v>3</v>
      </c>
      <c r="AF507" s="294" t="s">
        <v>320</v>
      </c>
      <c r="AG507" s="294" t="s">
        <v>321</v>
      </c>
      <c r="AH507" s="294" t="s">
        <v>323</v>
      </c>
      <c r="AI507" s="301">
        <v>6342785</v>
      </c>
    </row>
    <row r="508" spans="27:35" ht="16" customHeight="1">
      <c r="AA508" s="299">
        <v>2019</v>
      </c>
      <c r="AB508" s="299">
        <v>3050</v>
      </c>
      <c r="AC508" s="300" t="s">
        <v>254</v>
      </c>
      <c r="AD508" s="299">
        <v>755</v>
      </c>
      <c r="AE508" s="299">
        <v>4</v>
      </c>
      <c r="AF508" s="294" t="s">
        <v>320</v>
      </c>
      <c r="AG508" s="294" t="s">
        <v>324</v>
      </c>
      <c r="AH508" s="294" t="s">
        <v>325</v>
      </c>
      <c r="AI508" s="301">
        <v>95976174</v>
      </c>
    </row>
    <row r="509" spans="27:35" ht="16" customHeight="1">
      <c r="AA509" s="299">
        <v>2019</v>
      </c>
      <c r="AB509" s="299">
        <v>3050</v>
      </c>
      <c r="AC509" s="300" t="s">
        <v>254</v>
      </c>
      <c r="AD509" s="299">
        <v>755</v>
      </c>
      <c r="AE509" s="299">
        <v>5</v>
      </c>
      <c r="AF509" s="294" t="s">
        <v>320</v>
      </c>
      <c r="AG509" s="294" t="s">
        <v>324</v>
      </c>
      <c r="AH509" s="294" t="s">
        <v>326</v>
      </c>
      <c r="AI509" s="301">
        <v>161392821</v>
      </c>
    </row>
    <row r="510" spans="27:35" ht="16" customHeight="1">
      <c r="AA510" s="299">
        <v>2019</v>
      </c>
      <c r="AB510" s="299">
        <v>3050</v>
      </c>
      <c r="AC510" s="300" t="s">
        <v>254</v>
      </c>
      <c r="AD510" s="299">
        <v>755</v>
      </c>
      <c r="AE510" s="299">
        <v>6</v>
      </c>
      <c r="AF510" s="294" t="s">
        <v>320</v>
      </c>
      <c r="AG510" s="294" t="s">
        <v>327</v>
      </c>
      <c r="AH510" s="294" t="s">
        <v>328</v>
      </c>
      <c r="AI510" s="301">
        <v>0</v>
      </c>
    </row>
    <row r="511" spans="27:35" ht="16" customHeight="1">
      <c r="AA511" s="299">
        <v>2019</v>
      </c>
      <c r="AB511" s="299">
        <v>3050</v>
      </c>
      <c r="AC511" s="300" t="s">
        <v>254</v>
      </c>
      <c r="AD511" s="299">
        <v>755</v>
      </c>
      <c r="AE511" s="299">
        <v>7</v>
      </c>
      <c r="AF511" s="294" t="s">
        <v>320</v>
      </c>
      <c r="AG511" s="294" t="s">
        <v>324</v>
      </c>
      <c r="AH511" s="294" t="s">
        <v>329</v>
      </c>
      <c r="AI511" s="301">
        <v>161392821</v>
      </c>
    </row>
    <row r="512" spans="27:35" ht="16" customHeight="1">
      <c r="AA512" s="299">
        <v>2019</v>
      </c>
      <c r="AB512" s="299">
        <v>3050</v>
      </c>
      <c r="AC512" s="300" t="s">
        <v>254</v>
      </c>
      <c r="AD512" s="299">
        <v>755</v>
      </c>
      <c r="AE512" s="299">
        <v>8</v>
      </c>
      <c r="AF512" s="294" t="s">
        <v>330</v>
      </c>
      <c r="AG512" s="294" t="s">
        <v>331</v>
      </c>
      <c r="AH512" s="294" t="s">
        <v>322</v>
      </c>
      <c r="AI512" s="301">
        <v>201301130</v>
      </c>
    </row>
    <row r="513" spans="27:35" ht="16" customHeight="1">
      <c r="AA513" s="299">
        <v>2019</v>
      </c>
      <c r="AB513" s="299">
        <v>3050</v>
      </c>
      <c r="AC513" s="300" t="s">
        <v>254</v>
      </c>
      <c r="AD513" s="299">
        <v>755</v>
      </c>
      <c r="AE513" s="299">
        <v>9</v>
      </c>
      <c r="AF513" s="294" t="s">
        <v>330</v>
      </c>
      <c r="AG513" s="294" t="s">
        <v>331</v>
      </c>
      <c r="AH513" s="294" t="s">
        <v>323</v>
      </c>
      <c r="AI513" s="301">
        <v>14433053</v>
      </c>
    </row>
    <row r="514" spans="27:35" ht="16" customHeight="1">
      <c r="AA514" s="299">
        <v>2019</v>
      </c>
      <c r="AB514" s="299">
        <v>3050</v>
      </c>
      <c r="AC514" s="300" t="s">
        <v>254</v>
      </c>
      <c r="AD514" s="299">
        <v>755</v>
      </c>
      <c r="AE514" s="299">
        <v>10</v>
      </c>
      <c r="AF514" s="294" t="s">
        <v>330</v>
      </c>
      <c r="AG514" s="294" t="s">
        <v>332</v>
      </c>
      <c r="AH514" s="294" t="s">
        <v>325</v>
      </c>
      <c r="AI514" s="301">
        <v>316673809</v>
      </c>
    </row>
    <row r="515" spans="27:35" ht="16" customHeight="1">
      <c r="AA515" s="299">
        <v>2019</v>
      </c>
      <c r="AB515" s="299">
        <v>3050</v>
      </c>
      <c r="AC515" s="300" t="s">
        <v>254</v>
      </c>
      <c r="AD515" s="299">
        <v>755</v>
      </c>
      <c r="AE515" s="299">
        <v>11</v>
      </c>
      <c r="AF515" s="294" t="s">
        <v>330</v>
      </c>
      <c r="AG515" s="294" t="s">
        <v>332</v>
      </c>
      <c r="AH515" s="294" t="s">
        <v>333</v>
      </c>
      <c r="AI515" s="301">
        <v>532407992</v>
      </c>
    </row>
    <row r="516" spans="27:35" ht="16" customHeight="1">
      <c r="AA516" s="299">
        <v>2019</v>
      </c>
      <c r="AB516" s="299">
        <v>3050</v>
      </c>
      <c r="AC516" s="300" t="s">
        <v>254</v>
      </c>
      <c r="AD516" s="299">
        <v>755</v>
      </c>
      <c r="AE516" s="299">
        <v>12</v>
      </c>
      <c r="AF516" s="294" t="s">
        <v>330</v>
      </c>
      <c r="AG516" s="294" t="s">
        <v>334</v>
      </c>
      <c r="AH516" s="294" t="s">
        <v>335</v>
      </c>
      <c r="AI516" s="301">
        <v>4360897</v>
      </c>
    </row>
    <row r="517" spans="27:35" ht="16" customHeight="1">
      <c r="AA517" s="299">
        <v>2019</v>
      </c>
      <c r="AB517" s="299">
        <v>3050</v>
      </c>
      <c r="AC517" s="300" t="s">
        <v>254</v>
      </c>
      <c r="AD517" s="299">
        <v>755</v>
      </c>
      <c r="AE517" s="299">
        <v>13</v>
      </c>
      <c r="AF517" s="294" t="s">
        <v>330</v>
      </c>
      <c r="AG517" s="294" t="s">
        <v>336</v>
      </c>
      <c r="AH517" s="294" t="s">
        <v>308</v>
      </c>
      <c r="AI517" s="301">
        <v>14606701</v>
      </c>
    </row>
    <row r="518" spans="27:35" ht="16" customHeight="1">
      <c r="AA518" s="299">
        <v>2019</v>
      </c>
      <c r="AB518" s="299">
        <v>3050</v>
      </c>
      <c r="AC518" s="300" t="s">
        <v>254</v>
      </c>
      <c r="AD518" s="299">
        <v>755</v>
      </c>
      <c r="AE518" s="299">
        <v>14</v>
      </c>
      <c r="AF518" s="294" t="s">
        <v>330</v>
      </c>
      <c r="AG518" s="294" t="s">
        <v>337</v>
      </c>
      <c r="AH518" s="294" t="s">
        <v>338</v>
      </c>
      <c r="AI518" s="301">
        <v>551375590</v>
      </c>
    </row>
    <row r="519" spans="27:35" ht="16" customHeight="1">
      <c r="AA519" s="299">
        <v>2019</v>
      </c>
      <c r="AB519" s="299">
        <v>3050</v>
      </c>
      <c r="AC519" s="300" t="s">
        <v>254</v>
      </c>
      <c r="AD519" s="299">
        <v>755</v>
      </c>
      <c r="AE519" s="299">
        <v>15</v>
      </c>
      <c r="AF519" s="294" t="s">
        <v>385</v>
      </c>
      <c r="AG519" s="294" t="s">
        <v>386</v>
      </c>
      <c r="AH519" s="294" t="s">
        <v>387</v>
      </c>
      <c r="AI519" s="301">
        <v>0</v>
      </c>
    </row>
    <row r="520" spans="27:35" ht="16" customHeight="1">
      <c r="AA520" s="299">
        <v>2019</v>
      </c>
      <c r="AB520" s="299">
        <v>3050</v>
      </c>
      <c r="AC520" s="300" t="s">
        <v>254</v>
      </c>
      <c r="AD520" s="299">
        <v>755</v>
      </c>
      <c r="AE520" s="299">
        <v>16</v>
      </c>
      <c r="AF520" s="294" t="s">
        <v>385</v>
      </c>
      <c r="AG520" s="294" t="s">
        <v>386</v>
      </c>
      <c r="AH520" s="294" t="s">
        <v>388</v>
      </c>
      <c r="AI520" s="301">
        <v>10536000</v>
      </c>
    </row>
    <row r="521" spans="27:35" ht="16" customHeight="1">
      <c r="AA521" s="299">
        <v>2019</v>
      </c>
      <c r="AB521" s="299">
        <v>3050</v>
      </c>
      <c r="AC521" s="300" t="s">
        <v>254</v>
      </c>
      <c r="AD521" s="299">
        <v>755</v>
      </c>
      <c r="AE521" s="299">
        <v>17</v>
      </c>
      <c r="AF521" s="294" t="s">
        <v>385</v>
      </c>
      <c r="AG521" s="294" t="s">
        <v>386</v>
      </c>
      <c r="AH521" s="294" t="s">
        <v>389</v>
      </c>
      <c r="AI521" s="301">
        <v>103780000</v>
      </c>
    </row>
    <row r="522" spans="27:35" ht="16" customHeight="1">
      <c r="AA522" s="299">
        <v>2019</v>
      </c>
      <c r="AB522" s="299">
        <v>3050</v>
      </c>
      <c r="AC522" s="300" t="s">
        <v>254</v>
      </c>
      <c r="AD522" s="299">
        <v>755</v>
      </c>
      <c r="AE522" s="299">
        <v>18</v>
      </c>
      <c r="AF522" s="294" t="s">
        <v>385</v>
      </c>
      <c r="AG522" s="294" t="s">
        <v>386</v>
      </c>
      <c r="AH522" s="294" t="s">
        <v>390</v>
      </c>
      <c r="AI522" s="301">
        <v>255964000</v>
      </c>
    </row>
    <row r="523" spans="27:35" ht="16" customHeight="1">
      <c r="AA523" s="299">
        <v>2019</v>
      </c>
      <c r="AB523" s="299">
        <v>3050</v>
      </c>
      <c r="AC523" s="300" t="s">
        <v>254</v>
      </c>
      <c r="AD523" s="299">
        <v>755</v>
      </c>
      <c r="AE523" s="299">
        <v>19</v>
      </c>
      <c r="AF523" s="294" t="s">
        <v>385</v>
      </c>
      <c r="AG523" s="294" t="s">
        <v>386</v>
      </c>
      <c r="AH523" s="294" t="s">
        <v>391</v>
      </c>
      <c r="AI523" s="301">
        <v>60662000</v>
      </c>
    </row>
    <row r="524" spans="27:35" ht="16" customHeight="1">
      <c r="AA524" s="299">
        <v>2019</v>
      </c>
      <c r="AB524" s="299">
        <v>3050</v>
      </c>
      <c r="AC524" s="300" t="s">
        <v>254</v>
      </c>
      <c r="AD524" s="299">
        <v>755</v>
      </c>
      <c r="AE524" s="299">
        <v>20</v>
      </c>
      <c r="AF524" s="294" t="s">
        <v>385</v>
      </c>
      <c r="AG524" s="294" t="s">
        <v>386</v>
      </c>
      <c r="AH524" s="294" t="s">
        <v>392</v>
      </c>
      <c r="AI524" s="301">
        <v>746216000</v>
      </c>
    </row>
    <row r="525" spans="27:35" ht="16" customHeight="1">
      <c r="AA525" s="299">
        <v>2019</v>
      </c>
      <c r="AB525" s="299">
        <v>3050</v>
      </c>
      <c r="AC525" s="300" t="s">
        <v>254</v>
      </c>
      <c r="AD525" s="299">
        <v>755</v>
      </c>
      <c r="AE525" s="299">
        <v>21</v>
      </c>
      <c r="AF525" s="294" t="s">
        <v>385</v>
      </c>
      <c r="AG525" s="294" t="s">
        <v>386</v>
      </c>
      <c r="AH525" s="294" t="s">
        <v>393</v>
      </c>
      <c r="AI525" s="301">
        <v>12795000</v>
      </c>
    </row>
    <row r="526" spans="27:35" ht="16" customHeight="1">
      <c r="AA526" s="299">
        <v>2019</v>
      </c>
      <c r="AB526" s="299">
        <v>3050</v>
      </c>
      <c r="AC526" s="300" t="s">
        <v>254</v>
      </c>
      <c r="AD526" s="299">
        <v>755</v>
      </c>
      <c r="AE526" s="299">
        <v>22</v>
      </c>
      <c r="AF526" s="294" t="s">
        <v>385</v>
      </c>
      <c r="AG526" s="294" t="s">
        <v>386</v>
      </c>
      <c r="AH526" s="294" t="s">
        <v>394</v>
      </c>
      <c r="AI526" s="301">
        <v>153675000</v>
      </c>
    </row>
    <row r="527" spans="27:35" ht="16" customHeight="1">
      <c r="AA527" s="299">
        <v>2019</v>
      </c>
      <c r="AB527" s="299">
        <v>3050</v>
      </c>
      <c r="AC527" s="300" t="s">
        <v>254</v>
      </c>
      <c r="AD527" s="299">
        <v>755</v>
      </c>
      <c r="AE527" s="299">
        <v>23</v>
      </c>
      <c r="AF527" s="294" t="s">
        <v>385</v>
      </c>
      <c r="AG527" s="294" t="s">
        <v>386</v>
      </c>
      <c r="AH527" s="294" t="s">
        <v>395</v>
      </c>
      <c r="AI527" s="301">
        <v>15809000</v>
      </c>
    </row>
    <row r="528" spans="27:35" ht="16" customHeight="1">
      <c r="AA528" s="299">
        <v>2019</v>
      </c>
      <c r="AB528" s="299">
        <v>3050</v>
      </c>
      <c r="AC528" s="300" t="s">
        <v>254</v>
      </c>
      <c r="AD528" s="299">
        <v>755</v>
      </c>
      <c r="AE528" s="299">
        <v>24</v>
      </c>
      <c r="AF528" s="294" t="s">
        <v>385</v>
      </c>
      <c r="AG528" s="294" t="s">
        <v>386</v>
      </c>
      <c r="AH528" s="294" t="s">
        <v>396</v>
      </c>
      <c r="AI528" s="301">
        <v>19329000</v>
      </c>
    </row>
    <row r="529" spans="27:35" ht="16" customHeight="1">
      <c r="AA529" s="299">
        <v>2019</v>
      </c>
      <c r="AB529" s="299">
        <v>3050</v>
      </c>
      <c r="AC529" s="300" t="s">
        <v>254</v>
      </c>
      <c r="AD529" s="299">
        <v>755</v>
      </c>
      <c r="AE529" s="299">
        <v>25</v>
      </c>
      <c r="AF529" s="294" t="s">
        <v>385</v>
      </c>
      <c r="AG529" s="294" t="s">
        <v>386</v>
      </c>
      <c r="AH529" s="294" t="s">
        <v>397</v>
      </c>
      <c r="AI529" s="301">
        <v>601681000</v>
      </c>
    </row>
    <row r="530" spans="27:35" ht="16" customHeight="1">
      <c r="AA530" s="299">
        <v>2019</v>
      </c>
      <c r="AB530" s="299">
        <v>3050</v>
      </c>
      <c r="AC530" s="300" t="s">
        <v>254</v>
      </c>
      <c r="AD530" s="299">
        <v>755</v>
      </c>
      <c r="AE530" s="299">
        <v>26</v>
      </c>
      <c r="AF530" s="294" t="s">
        <v>385</v>
      </c>
      <c r="AG530" s="294" t="s">
        <v>386</v>
      </c>
      <c r="AH530" s="294" t="s">
        <v>398</v>
      </c>
      <c r="AI530" s="301">
        <v>71455000</v>
      </c>
    </row>
    <row r="531" spans="27:35" ht="16" customHeight="1">
      <c r="AA531" s="299">
        <v>2019</v>
      </c>
      <c r="AB531" s="299">
        <v>3050</v>
      </c>
      <c r="AC531" s="300" t="s">
        <v>254</v>
      </c>
      <c r="AD531" s="299">
        <v>755</v>
      </c>
      <c r="AE531" s="299">
        <v>27</v>
      </c>
      <c r="AF531" s="294" t="s">
        <v>385</v>
      </c>
      <c r="AG531" s="294" t="s">
        <v>386</v>
      </c>
      <c r="AH531" s="294" t="s">
        <v>399</v>
      </c>
      <c r="AI531" s="301">
        <v>189000</v>
      </c>
    </row>
    <row r="532" spans="27:35" ht="16" customHeight="1">
      <c r="AA532" s="299">
        <v>2019</v>
      </c>
      <c r="AB532" s="299">
        <v>3050</v>
      </c>
      <c r="AC532" s="300" t="s">
        <v>254</v>
      </c>
      <c r="AD532" s="299">
        <v>755</v>
      </c>
      <c r="AE532" s="299">
        <v>28</v>
      </c>
      <c r="AF532" s="294" t="s">
        <v>385</v>
      </c>
      <c r="AG532" s="294" t="s">
        <v>386</v>
      </c>
      <c r="AH532" s="294" t="s">
        <v>400</v>
      </c>
      <c r="AI532" s="301">
        <v>82865000</v>
      </c>
    </row>
    <row r="533" spans="27:35" ht="16" customHeight="1">
      <c r="AA533" s="299">
        <v>2019</v>
      </c>
      <c r="AB533" s="299">
        <v>3050</v>
      </c>
      <c r="AC533" s="300" t="s">
        <v>254</v>
      </c>
      <c r="AD533" s="299">
        <v>755</v>
      </c>
      <c r="AE533" s="299">
        <v>29</v>
      </c>
      <c r="AF533" s="294" t="s">
        <v>385</v>
      </c>
      <c r="AG533" s="294" t="s">
        <v>401</v>
      </c>
      <c r="AH533" s="294" t="s">
        <v>402</v>
      </c>
      <c r="AI533" s="301">
        <v>575000</v>
      </c>
    </row>
    <row r="534" spans="27:35" ht="16" customHeight="1">
      <c r="AA534" s="299">
        <v>2019</v>
      </c>
      <c r="AB534" s="299">
        <v>3050</v>
      </c>
      <c r="AC534" s="300" t="s">
        <v>254</v>
      </c>
      <c r="AD534" s="299">
        <v>755</v>
      </c>
      <c r="AE534" s="299">
        <v>30</v>
      </c>
      <c r="AF534" s="294" t="s">
        <v>385</v>
      </c>
      <c r="AG534" s="294" t="s">
        <v>401</v>
      </c>
      <c r="AH534" s="294" t="s">
        <v>403</v>
      </c>
      <c r="AI534" s="301">
        <v>2135531000</v>
      </c>
    </row>
    <row r="535" spans="27:35" ht="16" customHeight="1">
      <c r="AA535" s="299">
        <v>2019</v>
      </c>
      <c r="AB535" s="299">
        <v>3050</v>
      </c>
      <c r="AC535" s="300" t="s">
        <v>254</v>
      </c>
      <c r="AD535" s="299">
        <v>755</v>
      </c>
      <c r="AE535" s="299">
        <v>31</v>
      </c>
      <c r="AF535" s="294" t="s">
        <v>385</v>
      </c>
      <c r="AG535" s="294" t="s">
        <v>404</v>
      </c>
      <c r="AH535" s="294" t="s">
        <v>387</v>
      </c>
      <c r="AI535" s="301">
        <v>0</v>
      </c>
    </row>
    <row r="536" spans="27:35" ht="16" customHeight="1">
      <c r="AA536" s="299">
        <v>2019</v>
      </c>
      <c r="AB536" s="299">
        <v>3050</v>
      </c>
      <c r="AC536" s="300" t="s">
        <v>254</v>
      </c>
      <c r="AD536" s="299">
        <v>755</v>
      </c>
      <c r="AE536" s="299">
        <v>32</v>
      </c>
      <c r="AF536" s="294" t="s">
        <v>385</v>
      </c>
      <c r="AG536" s="294" t="s">
        <v>404</v>
      </c>
      <c r="AH536" s="294" t="s">
        <v>388</v>
      </c>
      <c r="AI536" s="301">
        <v>8859000</v>
      </c>
    </row>
    <row r="537" spans="27:35" ht="16" customHeight="1">
      <c r="AA537" s="299">
        <v>2019</v>
      </c>
      <c r="AB537" s="299">
        <v>3050</v>
      </c>
      <c r="AC537" s="300" t="s">
        <v>254</v>
      </c>
      <c r="AD537" s="299">
        <v>755</v>
      </c>
      <c r="AE537" s="299">
        <v>33</v>
      </c>
      <c r="AF537" s="294" t="s">
        <v>385</v>
      </c>
      <c r="AG537" s="294" t="s">
        <v>404</v>
      </c>
      <c r="AH537" s="294" t="s">
        <v>389</v>
      </c>
      <c r="AI537" s="301">
        <v>83620000</v>
      </c>
    </row>
    <row r="538" spans="27:35" ht="16" customHeight="1">
      <c r="AA538" s="299">
        <v>2019</v>
      </c>
      <c r="AB538" s="299">
        <v>3050</v>
      </c>
      <c r="AC538" s="300" t="s">
        <v>254</v>
      </c>
      <c r="AD538" s="299">
        <v>755</v>
      </c>
      <c r="AE538" s="299">
        <v>34</v>
      </c>
      <c r="AF538" s="294" t="s">
        <v>385</v>
      </c>
      <c r="AG538" s="294" t="s">
        <v>404</v>
      </c>
      <c r="AH538" s="294" t="s">
        <v>390</v>
      </c>
      <c r="AI538" s="301">
        <v>241466000</v>
      </c>
    </row>
    <row r="539" spans="27:35" ht="16" customHeight="1">
      <c r="AA539" s="299">
        <v>2019</v>
      </c>
      <c r="AB539" s="299">
        <v>3050</v>
      </c>
      <c r="AC539" s="300" t="s">
        <v>254</v>
      </c>
      <c r="AD539" s="299">
        <v>755</v>
      </c>
      <c r="AE539" s="299">
        <v>35</v>
      </c>
      <c r="AF539" s="294" t="s">
        <v>385</v>
      </c>
      <c r="AG539" s="294" t="s">
        <v>404</v>
      </c>
      <c r="AH539" s="294" t="s">
        <v>391</v>
      </c>
      <c r="AI539" s="301">
        <v>57573000</v>
      </c>
    </row>
    <row r="540" spans="27:35" ht="16" customHeight="1">
      <c r="AA540" s="299">
        <v>2019</v>
      </c>
      <c r="AB540" s="299">
        <v>3050</v>
      </c>
      <c r="AC540" s="300" t="s">
        <v>254</v>
      </c>
      <c r="AD540" s="299">
        <v>755</v>
      </c>
      <c r="AE540" s="299">
        <v>36</v>
      </c>
      <c r="AF540" s="294" t="s">
        <v>385</v>
      </c>
      <c r="AG540" s="294" t="s">
        <v>404</v>
      </c>
      <c r="AH540" s="294" t="s">
        <v>392</v>
      </c>
      <c r="AI540" s="301">
        <v>751595000</v>
      </c>
    </row>
    <row r="541" spans="27:35" ht="16" customHeight="1">
      <c r="AA541" s="299">
        <v>2019</v>
      </c>
      <c r="AB541" s="299">
        <v>3050</v>
      </c>
      <c r="AC541" s="300" t="s">
        <v>254</v>
      </c>
      <c r="AD541" s="299">
        <v>755</v>
      </c>
      <c r="AE541" s="299">
        <v>37</v>
      </c>
      <c r="AF541" s="294" t="s">
        <v>385</v>
      </c>
      <c r="AG541" s="294" t="s">
        <v>404</v>
      </c>
      <c r="AH541" s="294" t="s">
        <v>393</v>
      </c>
      <c r="AI541" s="301">
        <v>19415000</v>
      </c>
    </row>
    <row r="542" spans="27:35" ht="16" customHeight="1">
      <c r="AA542" s="299">
        <v>2019</v>
      </c>
      <c r="AB542" s="299">
        <v>3050</v>
      </c>
      <c r="AC542" s="300" t="s">
        <v>254</v>
      </c>
      <c r="AD542" s="299">
        <v>755</v>
      </c>
      <c r="AE542" s="299">
        <v>38</v>
      </c>
      <c r="AF542" s="294" t="s">
        <v>385</v>
      </c>
      <c r="AG542" s="294" t="s">
        <v>404</v>
      </c>
      <c r="AH542" s="294" t="s">
        <v>394</v>
      </c>
      <c r="AI542" s="301">
        <v>155290000</v>
      </c>
    </row>
    <row r="543" spans="27:35" ht="16" customHeight="1">
      <c r="AA543" s="299">
        <v>2019</v>
      </c>
      <c r="AB543" s="299">
        <v>3050</v>
      </c>
      <c r="AC543" s="300" t="s">
        <v>254</v>
      </c>
      <c r="AD543" s="299">
        <v>755</v>
      </c>
      <c r="AE543" s="299">
        <v>39</v>
      </c>
      <c r="AF543" s="294" t="s">
        <v>385</v>
      </c>
      <c r="AG543" s="294" t="s">
        <v>404</v>
      </c>
      <c r="AH543" s="294" t="s">
        <v>395</v>
      </c>
      <c r="AI543" s="301">
        <v>10442000</v>
      </c>
    </row>
    <row r="544" spans="27:35" ht="16" customHeight="1">
      <c r="AA544" s="299">
        <v>2019</v>
      </c>
      <c r="AB544" s="299">
        <v>3050</v>
      </c>
      <c r="AC544" s="300" t="s">
        <v>254</v>
      </c>
      <c r="AD544" s="299">
        <v>755</v>
      </c>
      <c r="AE544" s="299">
        <v>40</v>
      </c>
      <c r="AF544" s="294" t="s">
        <v>385</v>
      </c>
      <c r="AG544" s="294" t="s">
        <v>404</v>
      </c>
      <c r="AH544" s="294" t="s">
        <v>396</v>
      </c>
      <c r="AI544" s="301">
        <v>14813000</v>
      </c>
    </row>
    <row r="545" spans="27:35" ht="16" customHeight="1">
      <c r="AA545" s="299">
        <v>2019</v>
      </c>
      <c r="AB545" s="299">
        <v>3050</v>
      </c>
      <c r="AC545" s="300" t="s">
        <v>254</v>
      </c>
      <c r="AD545" s="299">
        <v>755</v>
      </c>
      <c r="AE545" s="299">
        <v>41</v>
      </c>
      <c r="AF545" s="294" t="s">
        <v>385</v>
      </c>
      <c r="AG545" s="294" t="s">
        <v>404</v>
      </c>
      <c r="AH545" s="294" t="s">
        <v>397</v>
      </c>
      <c r="AI545" s="301">
        <v>85206000</v>
      </c>
    </row>
    <row r="546" spans="27:35" ht="16" customHeight="1">
      <c r="AA546" s="299">
        <v>2019</v>
      </c>
      <c r="AB546" s="299">
        <v>3050</v>
      </c>
      <c r="AC546" s="300" t="s">
        <v>254</v>
      </c>
      <c r="AD546" s="299">
        <v>755</v>
      </c>
      <c r="AE546" s="299">
        <v>42</v>
      </c>
      <c r="AF546" s="294" t="s">
        <v>385</v>
      </c>
      <c r="AG546" s="294" t="s">
        <v>404</v>
      </c>
      <c r="AH546" s="294" t="s">
        <v>398</v>
      </c>
      <c r="AI546" s="301">
        <v>20865000</v>
      </c>
    </row>
    <row r="547" spans="27:35" ht="16" customHeight="1">
      <c r="AA547" s="299">
        <v>2019</v>
      </c>
      <c r="AB547" s="299">
        <v>3050</v>
      </c>
      <c r="AC547" s="300" t="s">
        <v>254</v>
      </c>
      <c r="AD547" s="299">
        <v>755</v>
      </c>
      <c r="AE547" s="299">
        <v>43</v>
      </c>
      <c r="AF547" s="294" t="s">
        <v>385</v>
      </c>
      <c r="AG547" s="294" t="s">
        <v>404</v>
      </c>
      <c r="AH547" s="294" t="s">
        <v>399</v>
      </c>
      <c r="AI547" s="301">
        <v>372000</v>
      </c>
    </row>
    <row r="548" spans="27:35" ht="16" customHeight="1">
      <c r="AA548" s="299">
        <v>2019</v>
      </c>
      <c r="AB548" s="299">
        <v>3050</v>
      </c>
      <c r="AC548" s="300" t="s">
        <v>254</v>
      </c>
      <c r="AD548" s="299">
        <v>755</v>
      </c>
      <c r="AE548" s="299">
        <v>44</v>
      </c>
      <c r="AF548" s="294" t="s">
        <v>385</v>
      </c>
      <c r="AG548" s="294" t="s">
        <v>404</v>
      </c>
      <c r="AH548" s="294" t="s">
        <v>400</v>
      </c>
      <c r="AI548" s="301">
        <v>77383000</v>
      </c>
    </row>
    <row r="549" spans="27:35" ht="16" customHeight="1">
      <c r="AA549" s="299">
        <v>2019</v>
      </c>
      <c r="AB549" s="299">
        <v>3050</v>
      </c>
      <c r="AC549" s="300" t="s">
        <v>254</v>
      </c>
      <c r="AD549" s="299">
        <v>755</v>
      </c>
      <c r="AE549" s="299">
        <v>45</v>
      </c>
      <c r="AF549" s="294" t="s">
        <v>385</v>
      </c>
      <c r="AG549" s="294" t="s">
        <v>405</v>
      </c>
      <c r="AH549" s="294" t="s">
        <v>402</v>
      </c>
      <c r="AI549" s="301">
        <v>517000</v>
      </c>
    </row>
    <row r="550" spans="27:35" ht="16" customHeight="1">
      <c r="AA550" s="299">
        <v>2019</v>
      </c>
      <c r="AB550" s="299">
        <v>3050</v>
      </c>
      <c r="AC550" s="300" t="s">
        <v>254</v>
      </c>
      <c r="AD550" s="299">
        <v>755</v>
      </c>
      <c r="AE550" s="299">
        <v>46</v>
      </c>
      <c r="AF550" s="294" t="s">
        <v>385</v>
      </c>
      <c r="AG550" s="294" t="s">
        <v>405</v>
      </c>
      <c r="AH550" s="294" t="s">
        <v>406</v>
      </c>
      <c r="AI550" s="301">
        <v>1527416000</v>
      </c>
    </row>
    <row r="551" spans="27:35" ht="16" customHeight="1">
      <c r="AA551" s="299">
        <v>2019</v>
      </c>
      <c r="AB551" s="299">
        <v>3050</v>
      </c>
      <c r="AC551" s="300" t="s">
        <v>254</v>
      </c>
      <c r="AD551" s="299">
        <v>755</v>
      </c>
      <c r="AE551" s="299">
        <v>47</v>
      </c>
      <c r="AF551" s="294" t="s">
        <v>385</v>
      </c>
      <c r="AG551" s="294" t="s">
        <v>407</v>
      </c>
      <c r="AH551" s="294" t="s">
        <v>387</v>
      </c>
      <c r="AI551" s="301">
        <v>0</v>
      </c>
    </row>
    <row r="552" spans="27:35" ht="16" customHeight="1">
      <c r="AA552" s="299">
        <v>2019</v>
      </c>
      <c r="AB552" s="299">
        <v>3050</v>
      </c>
      <c r="AC552" s="300" t="s">
        <v>254</v>
      </c>
      <c r="AD552" s="299">
        <v>755</v>
      </c>
      <c r="AE552" s="299">
        <v>48</v>
      </c>
      <c r="AF552" s="294" t="s">
        <v>385</v>
      </c>
      <c r="AG552" s="294" t="s">
        <v>407</v>
      </c>
      <c r="AH552" s="294" t="s">
        <v>388</v>
      </c>
      <c r="AI552" s="301">
        <v>3502000</v>
      </c>
    </row>
    <row r="553" spans="27:35" ht="16" customHeight="1">
      <c r="AA553" s="299">
        <v>2019</v>
      </c>
      <c r="AB553" s="299">
        <v>3050</v>
      </c>
      <c r="AC553" s="300" t="s">
        <v>254</v>
      </c>
      <c r="AD553" s="299">
        <v>755</v>
      </c>
      <c r="AE553" s="299">
        <v>49</v>
      </c>
      <c r="AF553" s="294" t="s">
        <v>385</v>
      </c>
      <c r="AG553" s="294" t="s">
        <v>407</v>
      </c>
      <c r="AH553" s="294" t="s">
        <v>389</v>
      </c>
      <c r="AI553" s="301">
        <v>66297000</v>
      </c>
    </row>
    <row r="554" spans="27:35" ht="16" customHeight="1">
      <c r="AA554" s="299">
        <v>2019</v>
      </c>
      <c r="AB554" s="299">
        <v>3050</v>
      </c>
      <c r="AC554" s="300" t="s">
        <v>254</v>
      </c>
      <c r="AD554" s="299">
        <v>755</v>
      </c>
      <c r="AE554" s="299">
        <v>50</v>
      </c>
      <c r="AF554" s="294" t="s">
        <v>385</v>
      </c>
      <c r="AG554" s="294" t="s">
        <v>407</v>
      </c>
      <c r="AH554" s="294" t="s">
        <v>390</v>
      </c>
      <c r="AI554" s="301">
        <v>854705000</v>
      </c>
    </row>
    <row r="555" spans="27:35" ht="16" customHeight="1">
      <c r="AA555" s="299">
        <v>2019</v>
      </c>
      <c r="AB555" s="299">
        <v>3050</v>
      </c>
      <c r="AC555" s="300" t="s">
        <v>254</v>
      </c>
      <c r="AD555" s="299">
        <v>755</v>
      </c>
      <c r="AE555" s="299">
        <v>51</v>
      </c>
      <c r="AF555" s="294" t="s">
        <v>385</v>
      </c>
      <c r="AG555" s="294" t="s">
        <v>407</v>
      </c>
      <c r="AH555" s="294" t="s">
        <v>391</v>
      </c>
      <c r="AI555" s="301">
        <v>17330000</v>
      </c>
    </row>
    <row r="556" spans="27:35" ht="16" customHeight="1">
      <c r="AA556" s="299">
        <v>2019</v>
      </c>
      <c r="AB556" s="299">
        <v>3050</v>
      </c>
      <c r="AC556" s="300" t="s">
        <v>254</v>
      </c>
      <c r="AD556" s="299">
        <v>755</v>
      </c>
      <c r="AE556" s="299">
        <v>52</v>
      </c>
      <c r="AF556" s="294" t="s">
        <v>385</v>
      </c>
      <c r="AG556" s="294" t="s">
        <v>407</v>
      </c>
      <c r="AH556" s="294" t="s">
        <v>392</v>
      </c>
      <c r="AI556" s="301">
        <v>563064000</v>
      </c>
    </row>
    <row r="557" spans="27:35" ht="16" customHeight="1">
      <c r="AA557" s="299">
        <v>2019</v>
      </c>
      <c r="AB557" s="299">
        <v>3050</v>
      </c>
      <c r="AC557" s="300" t="s">
        <v>254</v>
      </c>
      <c r="AD557" s="299">
        <v>755</v>
      </c>
      <c r="AE557" s="299">
        <v>53</v>
      </c>
      <c r="AF557" s="294" t="s">
        <v>385</v>
      </c>
      <c r="AG557" s="294" t="s">
        <v>407</v>
      </c>
      <c r="AH557" s="294" t="s">
        <v>393</v>
      </c>
      <c r="AI557" s="301">
        <v>59109000</v>
      </c>
    </row>
    <row r="558" spans="27:35" ht="16" customHeight="1">
      <c r="AA558" s="299">
        <v>2019</v>
      </c>
      <c r="AB558" s="299">
        <v>3050</v>
      </c>
      <c r="AC558" s="300" t="s">
        <v>254</v>
      </c>
      <c r="AD558" s="299">
        <v>755</v>
      </c>
      <c r="AE558" s="299">
        <v>54</v>
      </c>
      <c r="AF558" s="294" t="s">
        <v>385</v>
      </c>
      <c r="AG558" s="294" t="s">
        <v>407</v>
      </c>
      <c r="AH558" s="294" t="s">
        <v>394</v>
      </c>
      <c r="AI558" s="301">
        <v>554620000</v>
      </c>
    </row>
    <row r="559" spans="27:35" ht="16" customHeight="1">
      <c r="AA559" s="299">
        <v>2019</v>
      </c>
      <c r="AB559" s="299">
        <v>3050</v>
      </c>
      <c r="AC559" s="300" t="s">
        <v>254</v>
      </c>
      <c r="AD559" s="299">
        <v>755</v>
      </c>
      <c r="AE559" s="299">
        <v>55</v>
      </c>
      <c r="AF559" s="294" t="s">
        <v>385</v>
      </c>
      <c r="AG559" s="294" t="s">
        <v>407</v>
      </c>
      <c r="AH559" s="294" t="s">
        <v>395</v>
      </c>
      <c r="AI559" s="301">
        <v>3339000</v>
      </c>
    </row>
    <row r="560" spans="27:35" ht="16" customHeight="1">
      <c r="AA560" s="299">
        <v>2019</v>
      </c>
      <c r="AB560" s="299">
        <v>3050</v>
      </c>
      <c r="AC560" s="300" t="s">
        <v>254</v>
      </c>
      <c r="AD560" s="299">
        <v>755</v>
      </c>
      <c r="AE560" s="299">
        <v>56</v>
      </c>
      <c r="AF560" s="294" t="s">
        <v>385</v>
      </c>
      <c r="AG560" s="294" t="s">
        <v>407</v>
      </c>
      <c r="AH560" s="294" t="s">
        <v>396</v>
      </c>
      <c r="AI560" s="301">
        <v>90000</v>
      </c>
    </row>
    <row r="561" spans="27:35" ht="16" customHeight="1">
      <c r="AA561" s="299">
        <v>2019</v>
      </c>
      <c r="AB561" s="299">
        <v>3050</v>
      </c>
      <c r="AC561" s="300" t="s">
        <v>254</v>
      </c>
      <c r="AD561" s="299">
        <v>755</v>
      </c>
      <c r="AE561" s="299">
        <v>57</v>
      </c>
      <c r="AF561" s="294" t="s">
        <v>385</v>
      </c>
      <c r="AG561" s="294" t="s">
        <v>407</v>
      </c>
      <c r="AH561" s="294" t="s">
        <v>397</v>
      </c>
      <c r="AI561" s="301">
        <v>1154400000</v>
      </c>
    </row>
    <row r="562" spans="27:35" ht="16" customHeight="1">
      <c r="AA562" s="299">
        <v>2019</v>
      </c>
      <c r="AB562" s="299">
        <v>3050</v>
      </c>
      <c r="AC562" s="300" t="s">
        <v>254</v>
      </c>
      <c r="AD562" s="299">
        <v>755</v>
      </c>
      <c r="AE562" s="299">
        <v>58</v>
      </c>
      <c r="AF562" s="294" t="s">
        <v>385</v>
      </c>
      <c r="AG562" s="294" t="s">
        <v>407</v>
      </c>
      <c r="AH562" s="294" t="s">
        <v>398</v>
      </c>
      <c r="AI562" s="301">
        <v>347457000</v>
      </c>
    </row>
    <row r="563" spans="27:35" ht="16" customHeight="1">
      <c r="AA563" s="299">
        <v>2019</v>
      </c>
      <c r="AB563" s="299">
        <v>3050</v>
      </c>
      <c r="AC563" s="300" t="s">
        <v>254</v>
      </c>
      <c r="AD563" s="299">
        <v>755</v>
      </c>
      <c r="AE563" s="299">
        <v>59</v>
      </c>
      <c r="AF563" s="294" t="s">
        <v>385</v>
      </c>
      <c r="AG563" s="294" t="s">
        <v>407</v>
      </c>
      <c r="AH563" s="294" t="s">
        <v>399</v>
      </c>
      <c r="AI563" s="301">
        <v>270000</v>
      </c>
    </row>
    <row r="564" spans="27:35" ht="16" customHeight="1">
      <c r="AA564" s="299">
        <v>2019</v>
      </c>
      <c r="AB564" s="299">
        <v>3050</v>
      </c>
      <c r="AC564" s="300" t="s">
        <v>254</v>
      </c>
      <c r="AD564" s="299">
        <v>755</v>
      </c>
      <c r="AE564" s="299">
        <v>60</v>
      </c>
      <c r="AF564" s="294" t="s">
        <v>385</v>
      </c>
      <c r="AG564" s="294" t="s">
        <v>407</v>
      </c>
      <c r="AH564" s="294" t="s">
        <v>400</v>
      </c>
      <c r="AI564" s="301">
        <v>75413000</v>
      </c>
    </row>
    <row r="565" spans="27:35" ht="16" customHeight="1">
      <c r="AA565" s="299">
        <v>2019</v>
      </c>
      <c r="AB565" s="299">
        <v>3050</v>
      </c>
      <c r="AC565" s="300" t="s">
        <v>254</v>
      </c>
      <c r="AD565" s="299">
        <v>755</v>
      </c>
      <c r="AE565" s="299">
        <v>61</v>
      </c>
      <c r="AF565" s="294" t="s">
        <v>385</v>
      </c>
      <c r="AG565" s="294" t="s">
        <v>407</v>
      </c>
      <c r="AH565" s="294" t="s">
        <v>408</v>
      </c>
      <c r="AI565" s="301">
        <v>144260000</v>
      </c>
    </row>
    <row r="566" spans="27:35" ht="16" customHeight="1">
      <c r="AA566" s="299">
        <v>2019</v>
      </c>
      <c r="AB566" s="299">
        <v>3050</v>
      </c>
      <c r="AC566" s="300" t="s">
        <v>254</v>
      </c>
      <c r="AD566" s="299">
        <v>755</v>
      </c>
      <c r="AE566" s="299">
        <v>62</v>
      </c>
      <c r="AF566" s="294" t="s">
        <v>385</v>
      </c>
      <c r="AG566" s="294" t="s">
        <v>407</v>
      </c>
      <c r="AH566" s="294" t="s">
        <v>409</v>
      </c>
      <c r="AI566" s="301">
        <v>752225000</v>
      </c>
    </row>
    <row r="567" spans="27:35" ht="16" customHeight="1">
      <c r="AA567" s="299">
        <v>2019</v>
      </c>
      <c r="AB567" s="299">
        <v>3050</v>
      </c>
      <c r="AC567" s="300" t="s">
        <v>254</v>
      </c>
      <c r="AD567" s="299">
        <v>755</v>
      </c>
      <c r="AE567" s="299">
        <v>63</v>
      </c>
      <c r="AF567" s="294" t="s">
        <v>385</v>
      </c>
      <c r="AG567" s="294" t="s">
        <v>410</v>
      </c>
      <c r="AH567" s="294" t="s">
        <v>402</v>
      </c>
      <c r="AI567" s="301">
        <v>656000</v>
      </c>
    </row>
    <row r="568" spans="27:35" ht="16" customHeight="1">
      <c r="AA568" s="299">
        <v>2019</v>
      </c>
      <c r="AB568" s="299">
        <v>3050</v>
      </c>
      <c r="AC568" s="300" t="s">
        <v>254</v>
      </c>
      <c r="AD568" s="299">
        <v>755</v>
      </c>
      <c r="AE568" s="299">
        <v>64</v>
      </c>
      <c r="AF568" s="294" t="s">
        <v>385</v>
      </c>
      <c r="AG568" s="294" t="s">
        <v>410</v>
      </c>
      <c r="AH568" s="294" t="s">
        <v>411</v>
      </c>
      <c r="AI568" s="301">
        <v>4596737000</v>
      </c>
    </row>
    <row r="569" spans="27:35" ht="16" customHeight="1">
      <c r="AA569" s="299">
        <v>2019</v>
      </c>
      <c r="AB569" s="299">
        <v>3050</v>
      </c>
      <c r="AC569" s="300" t="s">
        <v>254</v>
      </c>
      <c r="AD569" s="299">
        <v>755</v>
      </c>
      <c r="AE569" s="299">
        <v>65</v>
      </c>
      <c r="AF569" s="294" t="s">
        <v>385</v>
      </c>
      <c r="AG569" s="294" t="s">
        <v>412</v>
      </c>
      <c r="AH569" s="294" t="s">
        <v>387</v>
      </c>
      <c r="AI569" s="301">
        <v>0</v>
      </c>
    </row>
    <row r="570" spans="27:35" ht="16" customHeight="1">
      <c r="AA570" s="299">
        <v>2019</v>
      </c>
      <c r="AB570" s="299">
        <v>3050</v>
      </c>
      <c r="AC570" s="300" t="s">
        <v>254</v>
      </c>
      <c r="AD570" s="299">
        <v>755</v>
      </c>
      <c r="AE570" s="299">
        <v>66</v>
      </c>
      <c r="AF570" s="294" t="s">
        <v>385</v>
      </c>
      <c r="AG570" s="294" t="s">
        <v>412</v>
      </c>
      <c r="AH570" s="294" t="s">
        <v>388</v>
      </c>
      <c r="AI570" s="301">
        <v>2451000</v>
      </c>
    </row>
    <row r="571" spans="27:35" ht="16" customHeight="1">
      <c r="AA571" s="299">
        <v>2019</v>
      </c>
      <c r="AB571" s="299">
        <v>3050</v>
      </c>
      <c r="AC571" s="300" t="s">
        <v>254</v>
      </c>
      <c r="AD571" s="299">
        <v>755</v>
      </c>
      <c r="AE571" s="299">
        <v>67</v>
      </c>
      <c r="AF571" s="294" t="s">
        <v>385</v>
      </c>
      <c r="AG571" s="294" t="s">
        <v>412</v>
      </c>
      <c r="AH571" s="294" t="s">
        <v>389</v>
      </c>
      <c r="AI571" s="301">
        <v>32528000</v>
      </c>
    </row>
    <row r="572" spans="27:35" ht="16" customHeight="1">
      <c r="AA572" s="299">
        <v>2019</v>
      </c>
      <c r="AB572" s="299">
        <v>3050</v>
      </c>
      <c r="AC572" s="300" t="s">
        <v>254</v>
      </c>
      <c r="AD572" s="299">
        <v>755</v>
      </c>
      <c r="AE572" s="299">
        <v>68</v>
      </c>
      <c r="AF572" s="294" t="s">
        <v>385</v>
      </c>
      <c r="AG572" s="294" t="s">
        <v>412</v>
      </c>
      <c r="AH572" s="294" t="s">
        <v>390</v>
      </c>
      <c r="AI572" s="301">
        <v>868233000</v>
      </c>
    </row>
    <row r="573" spans="27:35" ht="16" customHeight="1">
      <c r="AA573" s="299">
        <v>2019</v>
      </c>
      <c r="AB573" s="299">
        <v>3050</v>
      </c>
      <c r="AC573" s="300" t="s">
        <v>254</v>
      </c>
      <c r="AD573" s="299">
        <v>755</v>
      </c>
      <c r="AE573" s="299">
        <v>69</v>
      </c>
      <c r="AF573" s="294" t="s">
        <v>385</v>
      </c>
      <c r="AG573" s="294" t="s">
        <v>412</v>
      </c>
      <c r="AH573" s="294" t="s">
        <v>391</v>
      </c>
      <c r="AI573" s="301">
        <v>18272000</v>
      </c>
    </row>
    <row r="574" spans="27:35" ht="16" customHeight="1">
      <c r="AA574" s="299">
        <v>2019</v>
      </c>
      <c r="AB574" s="299">
        <v>3050</v>
      </c>
      <c r="AC574" s="300" t="s">
        <v>254</v>
      </c>
      <c r="AD574" s="299">
        <v>755</v>
      </c>
      <c r="AE574" s="299">
        <v>70</v>
      </c>
      <c r="AF574" s="294" t="s">
        <v>385</v>
      </c>
      <c r="AG574" s="294" t="s">
        <v>412</v>
      </c>
      <c r="AH574" s="294" t="s">
        <v>392</v>
      </c>
      <c r="AI574" s="301">
        <v>611843000</v>
      </c>
    </row>
    <row r="575" spans="27:35" ht="16" customHeight="1">
      <c r="AA575" s="299">
        <v>2019</v>
      </c>
      <c r="AB575" s="299">
        <v>3050</v>
      </c>
      <c r="AC575" s="300" t="s">
        <v>254</v>
      </c>
      <c r="AD575" s="299">
        <v>755</v>
      </c>
      <c r="AE575" s="299">
        <v>71</v>
      </c>
      <c r="AF575" s="294" t="s">
        <v>385</v>
      </c>
      <c r="AG575" s="294" t="s">
        <v>412</v>
      </c>
      <c r="AH575" s="294" t="s">
        <v>393</v>
      </c>
      <c r="AI575" s="301">
        <v>60865000</v>
      </c>
    </row>
    <row r="576" spans="27:35" ht="16" customHeight="1">
      <c r="AA576" s="299">
        <v>2019</v>
      </c>
      <c r="AB576" s="299">
        <v>3050</v>
      </c>
      <c r="AC576" s="300" t="s">
        <v>254</v>
      </c>
      <c r="AD576" s="299">
        <v>755</v>
      </c>
      <c r="AE576" s="299">
        <v>72</v>
      </c>
      <c r="AF576" s="294" t="s">
        <v>385</v>
      </c>
      <c r="AG576" s="294" t="s">
        <v>412</v>
      </c>
      <c r="AH576" s="294" t="s">
        <v>394</v>
      </c>
      <c r="AI576" s="301">
        <v>586478000</v>
      </c>
    </row>
    <row r="577" spans="27:35" ht="16" customHeight="1">
      <c r="AA577" s="299">
        <v>2019</v>
      </c>
      <c r="AB577" s="299">
        <v>3050</v>
      </c>
      <c r="AC577" s="300" t="s">
        <v>254</v>
      </c>
      <c r="AD577" s="299">
        <v>755</v>
      </c>
      <c r="AE577" s="299">
        <v>73</v>
      </c>
      <c r="AF577" s="294" t="s">
        <v>385</v>
      </c>
      <c r="AG577" s="294" t="s">
        <v>412</v>
      </c>
      <c r="AH577" s="294" t="s">
        <v>395</v>
      </c>
      <c r="AI577" s="301">
        <v>3917000</v>
      </c>
    </row>
    <row r="578" spans="27:35" ht="16" customHeight="1">
      <c r="AA578" s="299">
        <v>2019</v>
      </c>
      <c r="AB578" s="299">
        <v>3050</v>
      </c>
      <c r="AC578" s="300" t="s">
        <v>254</v>
      </c>
      <c r="AD578" s="299">
        <v>755</v>
      </c>
      <c r="AE578" s="299">
        <v>74</v>
      </c>
      <c r="AF578" s="294" t="s">
        <v>385</v>
      </c>
      <c r="AG578" s="294" t="s">
        <v>412</v>
      </c>
      <c r="AH578" s="294" t="s">
        <v>396</v>
      </c>
      <c r="AI578" s="301">
        <v>104000</v>
      </c>
    </row>
    <row r="579" spans="27:35" ht="16" customHeight="1">
      <c r="AA579" s="299">
        <v>2019</v>
      </c>
      <c r="AB579" s="299">
        <v>3050</v>
      </c>
      <c r="AC579" s="300" t="s">
        <v>254</v>
      </c>
      <c r="AD579" s="299">
        <v>755</v>
      </c>
      <c r="AE579" s="299">
        <v>75</v>
      </c>
      <c r="AF579" s="294" t="s">
        <v>385</v>
      </c>
      <c r="AG579" s="294" t="s">
        <v>412</v>
      </c>
      <c r="AH579" s="294" t="s">
        <v>397</v>
      </c>
      <c r="AI579" s="301">
        <v>130063000</v>
      </c>
    </row>
    <row r="580" spans="27:35" ht="16" customHeight="1">
      <c r="AA580" s="299">
        <v>2019</v>
      </c>
      <c r="AB580" s="299">
        <v>3050</v>
      </c>
      <c r="AC580" s="300" t="s">
        <v>254</v>
      </c>
      <c r="AD580" s="299">
        <v>755</v>
      </c>
      <c r="AE580" s="299">
        <v>76</v>
      </c>
      <c r="AF580" s="294" t="s">
        <v>385</v>
      </c>
      <c r="AG580" s="294" t="s">
        <v>412</v>
      </c>
      <c r="AH580" s="294" t="s">
        <v>398</v>
      </c>
      <c r="AI580" s="301">
        <v>85433000</v>
      </c>
    </row>
    <row r="581" spans="27:35" ht="16" customHeight="1">
      <c r="AA581" s="299">
        <v>2019</v>
      </c>
      <c r="AB581" s="299">
        <v>3050</v>
      </c>
      <c r="AC581" s="300" t="s">
        <v>254</v>
      </c>
      <c r="AD581" s="299">
        <v>755</v>
      </c>
      <c r="AE581" s="299">
        <v>77</v>
      </c>
      <c r="AF581" s="294" t="s">
        <v>385</v>
      </c>
      <c r="AG581" s="294" t="s">
        <v>412</v>
      </c>
      <c r="AH581" s="294" t="s">
        <v>399</v>
      </c>
      <c r="AI581" s="301">
        <v>484000</v>
      </c>
    </row>
    <row r="582" spans="27:35" ht="16" customHeight="1">
      <c r="AA582" s="299">
        <v>2019</v>
      </c>
      <c r="AB582" s="299">
        <v>3050</v>
      </c>
      <c r="AC582" s="300" t="s">
        <v>254</v>
      </c>
      <c r="AD582" s="299">
        <v>755</v>
      </c>
      <c r="AE582" s="299">
        <v>78</v>
      </c>
      <c r="AF582" s="294" t="s">
        <v>385</v>
      </c>
      <c r="AG582" s="294" t="s">
        <v>412</v>
      </c>
      <c r="AH582" s="294" t="s">
        <v>400</v>
      </c>
      <c r="AI582" s="301">
        <v>70389000</v>
      </c>
    </row>
    <row r="583" spans="27:35" ht="16" customHeight="1">
      <c r="AA583" s="299">
        <v>2019</v>
      </c>
      <c r="AB583" s="299">
        <v>3050</v>
      </c>
      <c r="AC583" s="300" t="s">
        <v>254</v>
      </c>
      <c r="AD583" s="299">
        <v>755</v>
      </c>
      <c r="AE583" s="299">
        <v>79</v>
      </c>
      <c r="AF583" s="294" t="s">
        <v>385</v>
      </c>
      <c r="AG583" s="294" t="s">
        <v>412</v>
      </c>
      <c r="AH583" s="294" t="s">
        <v>408</v>
      </c>
      <c r="AI583" s="301">
        <v>150226000</v>
      </c>
    </row>
    <row r="584" spans="27:35" ht="16" customHeight="1">
      <c r="AA584" s="299">
        <v>2019</v>
      </c>
      <c r="AB584" s="299">
        <v>3050</v>
      </c>
      <c r="AC584" s="300" t="s">
        <v>254</v>
      </c>
      <c r="AD584" s="299">
        <v>755</v>
      </c>
      <c r="AE584" s="299">
        <v>80</v>
      </c>
      <c r="AF584" s="294" t="s">
        <v>385</v>
      </c>
      <c r="AG584" s="294" t="s">
        <v>412</v>
      </c>
      <c r="AH584" s="294" t="s">
        <v>409</v>
      </c>
      <c r="AI584" s="301">
        <v>797463000</v>
      </c>
    </row>
    <row r="585" spans="27:35" ht="16" customHeight="1">
      <c r="AA585" s="299">
        <v>2019</v>
      </c>
      <c r="AB585" s="299">
        <v>3050</v>
      </c>
      <c r="AC585" s="300" t="s">
        <v>254</v>
      </c>
      <c r="AD585" s="299">
        <v>755</v>
      </c>
      <c r="AE585" s="299">
        <v>81</v>
      </c>
      <c r="AF585" s="294" t="s">
        <v>385</v>
      </c>
      <c r="AG585" s="294" t="s">
        <v>413</v>
      </c>
      <c r="AH585" s="294" t="s">
        <v>402</v>
      </c>
      <c r="AI585" s="301">
        <v>701000</v>
      </c>
    </row>
    <row r="586" spans="27:35" ht="16" customHeight="1">
      <c r="AA586" s="299">
        <v>2019</v>
      </c>
      <c r="AB586" s="299">
        <v>3050</v>
      </c>
      <c r="AC586" s="300" t="s">
        <v>254</v>
      </c>
      <c r="AD586" s="299">
        <v>755</v>
      </c>
      <c r="AE586" s="299">
        <v>82</v>
      </c>
      <c r="AF586" s="294" t="s">
        <v>385</v>
      </c>
      <c r="AG586" s="294" t="s">
        <v>413</v>
      </c>
      <c r="AH586" s="294" t="s">
        <v>414</v>
      </c>
      <c r="AI586" s="301">
        <v>3419450000</v>
      </c>
    </row>
    <row r="587" spans="27:35" ht="16" customHeight="1">
      <c r="AA587" s="299">
        <v>2019</v>
      </c>
      <c r="AB587" s="299">
        <v>3050</v>
      </c>
      <c r="AC587" s="300" t="s">
        <v>254</v>
      </c>
      <c r="AD587" s="299">
        <v>755</v>
      </c>
      <c r="AE587" s="299">
        <v>83</v>
      </c>
      <c r="AF587" s="294" t="s">
        <v>377</v>
      </c>
      <c r="AG587" s="294" t="s">
        <v>378</v>
      </c>
      <c r="AH587" s="294" t="s">
        <v>415</v>
      </c>
      <c r="AI587" s="301">
        <v>89505000</v>
      </c>
    </row>
    <row r="588" spans="27:35" ht="16" customHeight="1">
      <c r="AA588" s="299">
        <v>2019</v>
      </c>
      <c r="AB588" s="299">
        <v>3050</v>
      </c>
      <c r="AC588" s="300" t="s">
        <v>254</v>
      </c>
      <c r="AD588" s="299">
        <v>755</v>
      </c>
      <c r="AE588" s="299">
        <v>84</v>
      </c>
      <c r="AF588" s="294" t="s">
        <v>377</v>
      </c>
      <c r="AG588" s="294" t="s">
        <v>378</v>
      </c>
      <c r="AH588" s="294" t="s">
        <v>416</v>
      </c>
      <c r="AI588" s="301">
        <v>0</v>
      </c>
    </row>
    <row r="589" spans="27:35" ht="16" customHeight="1">
      <c r="AA589" s="299">
        <v>2019</v>
      </c>
      <c r="AB589" s="299">
        <v>3050</v>
      </c>
      <c r="AC589" s="300" t="s">
        <v>254</v>
      </c>
      <c r="AD589" s="299">
        <v>755</v>
      </c>
      <c r="AE589" s="299">
        <v>85</v>
      </c>
      <c r="AF589" s="294" t="s">
        <v>339</v>
      </c>
      <c r="AG589" s="294" t="s">
        <v>340</v>
      </c>
      <c r="AH589" s="294" t="s">
        <v>322</v>
      </c>
      <c r="AI589" s="301">
        <v>6361768000</v>
      </c>
    </row>
    <row r="590" spans="27:35" ht="16" customHeight="1">
      <c r="AA590" s="299">
        <v>2019</v>
      </c>
      <c r="AB590" s="299">
        <v>3050</v>
      </c>
      <c r="AC590" s="300" t="s">
        <v>254</v>
      </c>
      <c r="AD590" s="299">
        <v>755</v>
      </c>
      <c r="AE590" s="299">
        <v>86</v>
      </c>
      <c r="AF590" s="294" t="s">
        <v>339</v>
      </c>
      <c r="AG590" s="294" t="s">
        <v>340</v>
      </c>
      <c r="AH590" s="294" t="s">
        <v>323</v>
      </c>
      <c r="AI590" s="301">
        <v>148615000</v>
      </c>
    </row>
    <row r="591" spans="27:35" ht="16" customHeight="1">
      <c r="AA591" s="299">
        <v>2019</v>
      </c>
      <c r="AB591" s="299">
        <v>3050</v>
      </c>
      <c r="AC591" s="300" t="s">
        <v>254</v>
      </c>
      <c r="AD591" s="299">
        <v>755</v>
      </c>
      <c r="AE591" s="299">
        <v>87</v>
      </c>
      <c r="AF591" s="294" t="s">
        <v>339</v>
      </c>
      <c r="AG591" s="294" t="s">
        <v>341</v>
      </c>
      <c r="AH591" s="294" t="s">
        <v>325</v>
      </c>
      <c r="AI591" s="301">
        <v>5258256000</v>
      </c>
    </row>
    <row r="592" spans="27:35" ht="16" customHeight="1">
      <c r="AA592" s="299">
        <v>2019</v>
      </c>
      <c r="AB592" s="299">
        <v>3050</v>
      </c>
      <c r="AC592" s="300" t="s">
        <v>254</v>
      </c>
      <c r="AD592" s="299">
        <v>755</v>
      </c>
      <c r="AE592" s="299">
        <v>88</v>
      </c>
      <c r="AF592" s="294" t="s">
        <v>339</v>
      </c>
      <c r="AG592" s="294" t="s">
        <v>341</v>
      </c>
      <c r="AH592" s="294" t="s">
        <v>342</v>
      </c>
      <c r="AI592" s="301">
        <v>11768639000</v>
      </c>
    </row>
    <row r="593" spans="27:35" ht="16" customHeight="1">
      <c r="AA593" s="299">
        <v>2019</v>
      </c>
      <c r="AB593" s="299">
        <v>3050</v>
      </c>
      <c r="AC593" s="300" t="s">
        <v>254</v>
      </c>
      <c r="AD593" s="299">
        <v>755</v>
      </c>
      <c r="AE593" s="299">
        <v>89</v>
      </c>
      <c r="AF593" s="294" t="s">
        <v>377</v>
      </c>
      <c r="AG593" s="294" t="s">
        <v>378</v>
      </c>
      <c r="AH593" s="294" t="s">
        <v>379</v>
      </c>
      <c r="AI593" s="301">
        <v>32000</v>
      </c>
    </row>
    <row r="594" spans="27:35" ht="16" customHeight="1">
      <c r="AA594" s="299">
        <v>2019</v>
      </c>
      <c r="AB594" s="299">
        <v>3050</v>
      </c>
      <c r="AC594" s="300" t="s">
        <v>254</v>
      </c>
      <c r="AD594" s="299">
        <v>755</v>
      </c>
      <c r="AE594" s="299">
        <v>98</v>
      </c>
      <c r="AF594" s="294" t="s">
        <v>343</v>
      </c>
      <c r="AG594" s="294" t="s">
        <v>380</v>
      </c>
      <c r="AH594" s="294" t="s">
        <v>381</v>
      </c>
      <c r="AI594" s="301">
        <v>109762761000</v>
      </c>
    </row>
    <row r="595" spans="27:35" ht="16" customHeight="1">
      <c r="AA595" s="299">
        <v>2019</v>
      </c>
      <c r="AB595" s="299">
        <v>3050</v>
      </c>
      <c r="AC595" s="300" t="s">
        <v>254</v>
      </c>
      <c r="AD595" s="299">
        <v>755</v>
      </c>
      <c r="AE595" s="299">
        <v>99</v>
      </c>
      <c r="AF595" s="294" t="s">
        <v>343</v>
      </c>
      <c r="AG595" s="294" t="s">
        <v>344</v>
      </c>
      <c r="AH595" s="294" t="s">
        <v>322</v>
      </c>
      <c r="AI595" s="301">
        <v>573716808000</v>
      </c>
    </row>
    <row r="596" spans="27:35" ht="16" customHeight="1">
      <c r="AA596" s="299">
        <v>2019</v>
      </c>
      <c r="AB596" s="299">
        <v>3050</v>
      </c>
      <c r="AC596" s="300" t="s">
        <v>254</v>
      </c>
      <c r="AD596" s="299">
        <v>755</v>
      </c>
      <c r="AE596" s="299">
        <v>100</v>
      </c>
      <c r="AF596" s="294" t="s">
        <v>343</v>
      </c>
      <c r="AG596" s="294" t="s">
        <v>344</v>
      </c>
      <c r="AH596" s="294" t="s">
        <v>323</v>
      </c>
      <c r="AI596" s="301">
        <v>14001077000</v>
      </c>
    </row>
    <row r="597" spans="27:35" ht="16" customHeight="1">
      <c r="AA597" s="299">
        <v>2019</v>
      </c>
      <c r="AB597" s="299">
        <v>3050</v>
      </c>
      <c r="AC597" s="300" t="s">
        <v>254</v>
      </c>
      <c r="AD597" s="299">
        <v>755</v>
      </c>
      <c r="AE597" s="299">
        <v>101</v>
      </c>
      <c r="AF597" s="294" t="s">
        <v>343</v>
      </c>
      <c r="AG597" s="294" t="s">
        <v>344</v>
      </c>
      <c r="AH597" s="294" t="s">
        <v>325</v>
      </c>
      <c r="AI597" s="301">
        <v>570867224000</v>
      </c>
    </row>
    <row r="598" spans="27:35" ht="16" customHeight="1">
      <c r="AA598" s="299">
        <v>2019</v>
      </c>
      <c r="AB598" s="299">
        <v>3050</v>
      </c>
      <c r="AC598" s="300" t="s">
        <v>254</v>
      </c>
      <c r="AD598" s="299">
        <v>755</v>
      </c>
      <c r="AE598" s="299">
        <v>102</v>
      </c>
      <c r="AF598" s="294" t="s">
        <v>343</v>
      </c>
      <c r="AG598" s="294" t="s">
        <v>345</v>
      </c>
      <c r="AH598" s="294" t="s">
        <v>346</v>
      </c>
      <c r="AI598" s="301">
        <v>0</v>
      </c>
    </row>
    <row r="599" spans="27:35" ht="16" customHeight="1">
      <c r="AA599" s="299">
        <v>2019</v>
      </c>
      <c r="AB599" s="299">
        <v>3050</v>
      </c>
      <c r="AC599" s="300" t="s">
        <v>254</v>
      </c>
      <c r="AD599" s="299">
        <v>755</v>
      </c>
      <c r="AE599" s="299">
        <v>103</v>
      </c>
      <c r="AF599" s="294" t="s">
        <v>343</v>
      </c>
      <c r="AG599" s="294" t="s">
        <v>347</v>
      </c>
      <c r="AH599" s="294" t="s">
        <v>348</v>
      </c>
      <c r="AI599" s="301">
        <v>11191234000</v>
      </c>
    </row>
    <row r="600" spans="27:35" ht="16" customHeight="1">
      <c r="AA600" s="299">
        <v>2019</v>
      </c>
      <c r="AB600" s="299">
        <v>3050</v>
      </c>
      <c r="AC600" s="300" t="s">
        <v>254</v>
      </c>
      <c r="AD600" s="299">
        <v>755</v>
      </c>
      <c r="AE600" s="299">
        <v>104</v>
      </c>
      <c r="AF600" s="294" t="s">
        <v>343</v>
      </c>
      <c r="AG600" s="294" t="s">
        <v>349</v>
      </c>
      <c r="AH600" s="294" t="s">
        <v>350</v>
      </c>
      <c r="AI600" s="301">
        <v>1279539104000</v>
      </c>
    </row>
    <row r="601" spans="27:35" ht="16" customHeight="1">
      <c r="AA601" s="299">
        <v>2019</v>
      </c>
      <c r="AB601" s="299">
        <v>3050</v>
      </c>
      <c r="AC601" s="300" t="s">
        <v>254</v>
      </c>
      <c r="AD601" s="299">
        <v>755</v>
      </c>
      <c r="AE601" s="299">
        <v>105</v>
      </c>
      <c r="AF601" s="294" t="s">
        <v>351</v>
      </c>
      <c r="AG601" s="294" t="s">
        <v>352</v>
      </c>
      <c r="AH601" s="294" t="s">
        <v>353</v>
      </c>
      <c r="AI601" s="301">
        <v>573682000</v>
      </c>
    </row>
    <row r="602" spans="27:35" ht="16" customHeight="1">
      <c r="AA602" s="299">
        <v>2019</v>
      </c>
      <c r="AB602" s="299">
        <v>3050</v>
      </c>
      <c r="AC602" s="300" t="s">
        <v>254</v>
      </c>
      <c r="AD602" s="299">
        <v>755</v>
      </c>
      <c r="AE602" s="299">
        <v>106</v>
      </c>
      <c r="AF602" s="294" t="s">
        <v>351</v>
      </c>
      <c r="AG602" s="294" t="s">
        <v>354</v>
      </c>
      <c r="AH602" s="294" t="s">
        <v>355</v>
      </c>
      <c r="AI602" s="301">
        <v>10550000</v>
      </c>
    </row>
    <row r="603" spans="27:35" ht="16" customHeight="1">
      <c r="AA603" s="299">
        <v>2019</v>
      </c>
      <c r="AB603" s="299">
        <v>3050</v>
      </c>
      <c r="AC603" s="300" t="s">
        <v>254</v>
      </c>
      <c r="AD603" s="299">
        <v>755</v>
      </c>
      <c r="AE603" s="299">
        <v>107</v>
      </c>
      <c r="AF603" s="294" t="s">
        <v>351</v>
      </c>
      <c r="AG603" s="294" t="s">
        <v>356</v>
      </c>
      <c r="AH603" s="294" t="s">
        <v>357</v>
      </c>
      <c r="AI603" s="301">
        <v>584232000</v>
      </c>
    </row>
    <row r="604" spans="27:35" ht="16" customHeight="1">
      <c r="AA604" s="299">
        <v>2019</v>
      </c>
      <c r="AB604" s="299">
        <v>3050</v>
      </c>
      <c r="AC604" s="300" t="s">
        <v>254</v>
      </c>
      <c r="AD604" s="299">
        <v>755</v>
      </c>
      <c r="AE604" s="299">
        <v>108</v>
      </c>
      <c r="AF604" s="294" t="s">
        <v>358</v>
      </c>
      <c r="AG604" s="294" t="s">
        <v>359</v>
      </c>
      <c r="AH604" s="294" t="s">
        <v>360</v>
      </c>
      <c r="AI604" s="301">
        <v>665033180000</v>
      </c>
    </row>
    <row r="605" spans="27:35" ht="16" customHeight="1">
      <c r="AA605" s="299">
        <v>2019</v>
      </c>
      <c r="AB605" s="299">
        <v>3050</v>
      </c>
      <c r="AC605" s="300" t="s">
        <v>254</v>
      </c>
      <c r="AD605" s="299">
        <v>755</v>
      </c>
      <c r="AE605" s="299">
        <v>109</v>
      </c>
      <c r="AF605" s="294" t="s">
        <v>358</v>
      </c>
      <c r="AG605" s="294" t="s">
        <v>359</v>
      </c>
      <c r="AH605" s="294" t="s">
        <v>361</v>
      </c>
      <c r="AI605" s="301">
        <v>0</v>
      </c>
    </row>
    <row r="606" spans="27:35" ht="16" customHeight="1">
      <c r="AA606" s="299">
        <v>2019</v>
      </c>
      <c r="AB606" s="299">
        <v>3050</v>
      </c>
      <c r="AC606" s="300" t="s">
        <v>254</v>
      </c>
      <c r="AD606" s="299">
        <v>755</v>
      </c>
      <c r="AE606" s="299">
        <v>110</v>
      </c>
      <c r="AF606" s="294" t="s">
        <v>358</v>
      </c>
      <c r="AG606" s="294" t="s">
        <v>359</v>
      </c>
      <c r="AH606" s="294" t="s">
        <v>362</v>
      </c>
      <c r="AI606" s="301">
        <v>665033180000</v>
      </c>
    </row>
    <row r="607" spans="27:35" ht="16" customHeight="1">
      <c r="AA607" s="299">
        <v>2019</v>
      </c>
      <c r="AB607" s="299">
        <v>3050</v>
      </c>
      <c r="AC607" s="300" t="s">
        <v>254</v>
      </c>
      <c r="AD607" s="299">
        <v>755</v>
      </c>
      <c r="AE607" s="299">
        <v>111</v>
      </c>
      <c r="AF607" s="294" t="s">
        <v>358</v>
      </c>
      <c r="AG607" s="294" t="s">
        <v>363</v>
      </c>
      <c r="AH607" s="294" t="s">
        <v>364</v>
      </c>
      <c r="AI607" s="301">
        <v>6491442000</v>
      </c>
    </row>
    <row r="608" spans="27:35" ht="16" customHeight="1">
      <c r="AA608" s="299">
        <v>2019</v>
      </c>
      <c r="AB608" s="299">
        <v>3050</v>
      </c>
      <c r="AC608" s="300" t="s">
        <v>254</v>
      </c>
      <c r="AD608" s="299">
        <v>755</v>
      </c>
      <c r="AE608" s="299">
        <v>112</v>
      </c>
      <c r="AF608" s="294" t="s">
        <v>358</v>
      </c>
      <c r="AG608" s="294" t="s">
        <v>363</v>
      </c>
      <c r="AH608" s="294" t="s">
        <v>365</v>
      </c>
      <c r="AI608" s="301">
        <v>0</v>
      </c>
    </row>
    <row r="609" spans="27:35" ht="16" customHeight="1">
      <c r="AA609" s="299">
        <v>2019</v>
      </c>
      <c r="AB609" s="299">
        <v>3050</v>
      </c>
      <c r="AC609" s="300" t="s">
        <v>254</v>
      </c>
      <c r="AD609" s="299">
        <v>755</v>
      </c>
      <c r="AE609" s="299">
        <v>113</v>
      </c>
      <c r="AF609" s="294" t="s">
        <v>358</v>
      </c>
      <c r="AG609" s="294" t="s">
        <v>363</v>
      </c>
      <c r="AH609" s="294" t="s">
        <v>366</v>
      </c>
      <c r="AI609" s="301">
        <v>6491442000</v>
      </c>
    </row>
    <row r="610" spans="27:35" ht="16" customHeight="1">
      <c r="AA610" s="299">
        <v>2019</v>
      </c>
      <c r="AB610" s="299">
        <v>3050</v>
      </c>
      <c r="AC610" s="300" t="s">
        <v>254</v>
      </c>
      <c r="AD610" s="299">
        <v>755</v>
      </c>
      <c r="AE610" s="299">
        <v>114</v>
      </c>
      <c r="AF610" s="294" t="s">
        <v>358</v>
      </c>
      <c r="AG610" s="294" t="s">
        <v>367</v>
      </c>
      <c r="AH610" s="294" t="s">
        <v>368</v>
      </c>
      <c r="AI610" s="301">
        <v>671524622000</v>
      </c>
    </row>
    <row r="611" spans="27:35" ht="16" customHeight="1">
      <c r="AA611" s="299">
        <v>2019</v>
      </c>
      <c r="AB611" s="299">
        <v>3050</v>
      </c>
      <c r="AC611" s="300" t="s">
        <v>254</v>
      </c>
      <c r="AD611" s="299">
        <v>755</v>
      </c>
      <c r="AE611" s="299">
        <v>115</v>
      </c>
      <c r="AF611" s="294" t="s">
        <v>369</v>
      </c>
      <c r="AG611" s="294" t="s">
        <v>370</v>
      </c>
      <c r="AH611" s="294" t="s">
        <v>371</v>
      </c>
      <c r="AI611" s="301">
        <v>9835163</v>
      </c>
    </row>
    <row r="612" spans="27:35" ht="16" customHeight="1">
      <c r="AA612" s="299">
        <v>2019</v>
      </c>
      <c r="AB612" s="299">
        <v>3050</v>
      </c>
      <c r="AC612" s="300" t="s">
        <v>254</v>
      </c>
      <c r="AD612" s="299">
        <v>755</v>
      </c>
      <c r="AE612" s="299">
        <v>116</v>
      </c>
      <c r="AF612" s="294" t="s">
        <v>369</v>
      </c>
      <c r="AG612" s="294" t="s">
        <v>372</v>
      </c>
      <c r="AH612" s="294" t="s">
        <v>373</v>
      </c>
      <c r="AI612" s="301">
        <v>265316</v>
      </c>
    </row>
    <row r="613" spans="27:35" ht="16" customHeight="1">
      <c r="AA613" s="299">
        <v>2019</v>
      </c>
      <c r="AB613" s="299">
        <v>3050</v>
      </c>
      <c r="AC613" s="300" t="s">
        <v>254</v>
      </c>
      <c r="AD613" s="299">
        <v>755</v>
      </c>
      <c r="AE613" s="299">
        <v>117</v>
      </c>
      <c r="AF613" s="294" t="s">
        <v>374</v>
      </c>
      <c r="AG613" s="294" t="s">
        <v>375</v>
      </c>
      <c r="AH613" s="294" t="s">
        <v>376</v>
      </c>
      <c r="AI613" s="301">
        <v>2434450</v>
      </c>
    </row>
    <row r="614" spans="27:35" ht="16" customHeight="1">
      <c r="AA614" s="299">
        <v>2019</v>
      </c>
      <c r="AB614" s="299">
        <v>3050</v>
      </c>
      <c r="AC614" s="300" t="s">
        <v>254</v>
      </c>
      <c r="AD614" s="299">
        <v>755</v>
      </c>
      <c r="AE614" s="299">
        <v>118</v>
      </c>
      <c r="AF614" s="294" t="s">
        <v>417</v>
      </c>
      <c r="AG614" s="294" t="s">
        <v>418</v>
      </c>
      <c r="AH614" s="294" t="s">
        <v>419</v>
      </c>
      <c r="AI614" s="301">
        <v>2155321</v>
      </c>
    </row>
    <row r="615" spans="27:35" ht="16" customHeight="1">
      <c r="AA615" s="299">
        <v>2019</v>
      </c>
      <c r="AB615" s="299">
        <v>3050</v>
      </c>
      <c r="AC615" s="300" t="s">
        <v>254</v>
      </c>
      <c r="AD615" s="299">
        <v>755</v>
      </c>
      <c r="AE615" s="299">
        <v>119</v>
      </c>
      <c r="AF615" s="294" t="s">
        <v>417</v>
      </c>
      <c r="AG615" s="294" t="s">
        <v>418</v>
      </c>
      <c r="AH615" s="294" t="s">
        <v>420</v>
      </c>
      <c r="AI615" s="301">
        <v>0</v>
      </c>
    </row>
    <row r="616" spans="27:35" ht="16" customHeight="1">
      <c r="AA616" s="299">
        <v>2019</v>
      </c>
      <c r="AB616" s="299">
        <v>3050</v>
      </c>
      <c r="AC616" s="300" t="s">
        <v>254</v>
      </c>
      <c r="AD616" s="299">
        <v>755</v>
      </c>
      <c r="AE616" s="299">
        <v>120</v>
      </c>
      <c r="AF616" s="294" t="s">
        <v>421</v>
      </c>
      <c r="AG616" s="294" t="s">
        <v>422</v>
      </c>
      <c r="AH616" s="294" t="s">
        <v>322</v>
      </c>
      <c r="AI616" s="301">
        <v>3916929</v>
      </c>
    </row>
    <row r="617" spans="27:35" ht="16" customHeight="1">
      <c r="AA617" s="299">
        <v>2019</v>
      </c>
      <c r="AB617" s="299">
        <v>3050</v>
      </c>
      <c r="AC617" s="300" t="s">
        <v>254</v>
      </c>
      <c r="AD617" s="299">
        <v>755</v>
      </c>
      <c r="AE617" s="299">
        <v>121</v>
      </c>
      <c r="AF617" s="294" t="s">
        <v>421</v>
      </c>
      <c r="AG617" s="294" t="s">
        <v>422</v>
      </c>
      <c r="AH617" s="294" t="s">
        <v>323</v>
      </c>
      <c r="AI617" s="301">
        <v>2364645</v>
      </c>
    </row>
    <row r="618" spans="27:35" ht="16" customHeight="1">
      <c r="AA618" s="299">
        <v>2019</v>
      </c>
      <c r="AB618" s="299">
        <v>3050</v>
      </c>
      <c r="AC618" s="300" t="s">
        <v>254</v>
      </c>
      <c r="AD618" s="299">
        <v>755</v>
      </c>
      <c r="AE618" s="299">
        <v>122</v>
      </c>
      <c r="AF618" s="294" t="s">
        <v>421</v>
      </c>
      <c r="AG618" s="294" t="s">
        <v>422</v>
      </c>
      <c r="AH618" s="294" t="s">
        <v>325</v>
      </c>
      <c r="AI618" s="301">
        <v>5514070</v>
      </c>
    </row>
    <row r="619" spans="27:35" ht="16" customHeight="1">
      <c r="AA619" s="299">
        <v>2019</v>
      </c>
      <c r="AB619" s="299">
        <v>3050</v>
      </c>
      <c r="AC619" s="300" t="s">
        <v>254</v>
      </c>
      <c r="AD619" s="299">
        <v>755</v>
      </c>
      <c r="AE619" s="299">
        <v>123</v>
      </c>
      <c r="AF619" s="294" t="s">
        <v>423</v>
      </c>
      <c r="AG619" s="294" t="s">
        <v>424</v>
      </c>
      <c r="AH619" s="294" t="s">
        <v>425</v>
      </c>
      <c r="AI619" s="301">
        <v>8116800</v>
      </c>
    </row>
    <row r="620" spans="27:35" ht="16" customHeight="1">
      <c r="AA620" s="299">
        <v>2019</v>
      </c>
      <c r="AB620" s="299">
        <v>3050</v>
      </c>
      <c r="AC620" s="300" t="s">
        <v>254</v>
      </c>
      <c r="AD620" s="299">
        <v>755</v>
      </c>
      <c r="AE620" s="299">
        <v>124</v>
      </c>
      <c r="AF620" s="294" t="s">
        <v>426</v>
      </c>
      <c r="AG620" s="294" t="s">
        <v>427</v>
      </c>
      <c r="AH620" s="294" t="s">
        <v>428</v>
      </c>
      <c r="AI620" s="301">
        <v>2443995</v>
      </c>
    </row>
    <row r="621" spans="27:35" ht="16" customHeight="1">
      <c r="AA621" s="299">
        <v>2019</v>
      </c>
      <c r="AB621" s="299">
        <v>3050</v>
      </c>
      <c r="AC621" s="300" t="s">
        <v>254</v>
      </c>
      <c r="AD621" s="299">
        <v>755</v>
      </c>
      <c r="AE621" s="299">
        <v>125</v>
      </c>
      <c r="AF621" s="294" t="s">
        <v>429</v>
      </c>
      <c r="AG621" s="294" t="s">
        <v>430</v>
      </c>
      <c r="AH621" s="294" t="s">
        <v>431</v>
      </c>
      <c r="AI621" s="301">
        <v>164695</v>
      </c>
    </row>
    <row r="622" spans="27:35" ht="16" customHeight="1">
      <c r="AA622" s="299">
        <v>2019</v>
      </c>
      <c r="AB622" s="299">
        <v>3050</v>
      </c>
      <c r="AC622" s="300" t="s">
        <v>254</v>
      </c>
      <c r="AD622" s="299">
        <v>755</v>
      </c>
      <c r="AE622" s="299">
        <v>126</v>
      </c>
      <c r="AF622" s="294" t="s">
        <v>432</v>
      </c>
      <c r="AG622" s="294" t="s">
        <v>433</v>
      </c>
      <c r="AH622" s="294" t="s">
        <v>434</v>
      </c>
      <c r="AI622" s="301">
        <v>0</v>
      </c>
    </row>
    <row r="623" spans="27:35" ht="16" customHeight="1">
      <c r="AA623" s="299">
        <v>2019</v>
      </c>
      <c r="AB623" s="299">
        <v>3050</v>
      </c>
      <c r="AC623" s="300" t="s">
        <v>254</v>
      </c>
      <c r="AD623" s="299">
        <v>755</v>
      </c>
      <c r="AE623" s="299">
        <v>127</v>
      </c>
      <c r="AF623" s="294" t="s">
        <v>432</v>
      </c>
      <c r="AG623" s="294" t="s">
        <v>433</v>
      </c>
      <c r="AH623" s="294" t="s">
        <v>435</v>
      </c>
      <c r="AI623" s="301">
        <v>11168213</v>
      </c>
    </row>
    <row r="624" spans="27:35" ht="16" customHeight="1">
      <c r="AA624" s="299">
        <v>2019</v>
      </c>
      <c r="AB624" s="299">
        <v>3050</v>
      </c>
      <c r="AC624" s="300" t="s">
        <v>254</v>
      </c>
      <c r="AD624" s="299">
        <v>755</v>
      </c>
      <c r="AE624" s="299">
        <v>128</v>
      </c>
      <c r="AF624" s="294" t="s">
        <v>432</v>
      </c>
      <c r="AG624" s="294" t="s">
        <v>433</v>
      </c>
      <c r="AH624" s="294" t="s">
        <v>158</v>
      </c>
      <c r="AI624" s="301">
        <v>0</v>
      </c>
    </row>
    <row r="625" spans="27:35" ht="16" customHeight="1">
      <c r="AA625" s="299">
        <v>2019</v>
      </c>
      <c r="AB625" s="299">
        <v>3050</v>
      </c>
      <c r="AC625" s="300" t="s">
        <v>254</v>
      </c>
      <c r="AD625" s="299">
        <v>755</v>
      </c>
      <c r="AE625" s="299">
        <v>129</v>
      </c>
      <c r="AF625" s="294" t="s">
        <v>432</v>
      </c>
      <c r="AG625" s="294" t="s">
        <v>433</v>
      </c>
      <c r="AH625" s="294" t="s">
        <v>436</v>
      </c>
      <c r="AI625" s="301">
        <v>11168213</v>
      </c>
    </row>
    <row r="626" spans="27:35" ht="16" customHeight="1">
      <c r="AA626" s="299">
        <v>2019</v>
      </c>
      <c r="AB626" s="299">
        <v>3050</v>
      </c>
      <c r="AC626" s="300" t="s">
        <v>254</v>
      </c>
      <c r="AD626" s="299">
        <v>755</v>
      </c>
      <c r="AE626" s="299">
        <v>130</v>
      </c>
      <c r="AF626" s="294" t="s">
        <v>437</v>
      </c>
      <c r="AG626" s="294" t="s">
        <v>438</v>
      </c>
      <c r="AH626" s="294" t="s">
        <v>439</v>
      </c>
      <c r="AI626" s="301">
        <v>13475</v>
      </c>
    </row>
    <row r="627" spans="27:35" ht="16" customHeight="1">
      <c r="AA627" s="299">
        <v>2019</v>
      </c>
      <c r="AB627" s="299">
        <v>3050</v>
      </c>
      <c r="AC627" s="300" t="s">
        <v>254</v>
      </c>
      <c r="AD627" s="299">
        <v>755</v>
      </c>
      <c r="AE627" s="299">
        <v>131</v>
      </c>
      <c r="AF627" s="294" t="s">
        <v>437</v>
      </c>
      <c r="AG627" s="294" t="s">
        <v>438</v>
      </c>
      <c r="AH627" s="294" t="s">
        <v>440</v>
      </c>
      <c r="AI627" s="301">
        <v>107</v>
      </c>
    </row>
    <row r="628" spans="27:35" ht="16" customHeight="1">
      <c r="AA628" s="299">
        <v>2019</v>
      </c>
      <c r="AB628" s="299">
        <v>3050</v>
      </c>
      <c r="AC628" s="300" t="s">
        <v>254</v>
      </c>
      <c r="AD628" s="299">
        <v>755</v>
      </c>
      <c r="AE628" s="299">
        <v>132</v>
      </c>
      <c r="AF628" s="294" t="s">
        <v>437</v>
      </c>
      <c r="AG628" s="294" t="s">
        <v>441</v>
      </c>
      <c r="AH628" s="294" t="s">
        <v>442</v>
      </c>
      <c r="AI628" s="301">
        <v>677</v>
      </c>
    </row>
    <row r="629" spans="27:35" ht="16" customHeight="1">
      <c r="AA629" s="299">
        <v>2019</v>
      </c>
      <c r="AB629" s="299">
        <v>3050</v>
      </c>
      <c r="AC629" s="300" t="s">
        <v>254</v>
      </c>
      <c r="AD629" s="299">
        <v>755</v>
      </c>
      <c r="AE629" s="299">
        <v>133</v>
      </c>
      <c r="AF629" s="294" t="s">
        <v>437</v>
      </c>
      <c r="AG629" s="294" t="s">
        <v>443</v>
      </c>
      <c r="AH629" s="294" t="s">
        <v>444</v>
      </c>
      <c r="AI629" s="301">
        <v>14259</v>
      </c>
    </row>
    <row r="630" spans="27:35" ht="16" customHeight="1">
      <c r="AA630" s="299">
        <v>2019</v>
      </c>
      <c r="AB630" s="299">
        <v>3050</v>
      </c>
      <c r="AC630" s="300" t="s">
        <v>254</v>
      </c>
      <c r="AD630" s="299">
        <v>755</v>
      </c>
      <c r="AE630" s="299">
        <v>134</v>
      </c>
      <c r="AF630" s="294" t="s">
        <v>445</v>
      </c>
      <c r="AG630" s="294" t="s">
        <v>446</v>
      </c>
      <c r="AH630" s="294" t="s">
        <v>447</v>
      </c>
      <c r="AI630" s="301">
        <v>546</v>
      </c>
    </row>
    <row r="631" spans="27:35" ht="16" customHeight="1">
      <c r="AA631" s="299">
        <v>2019</v>
      </c>
      <c r="AB631" s="299">
        <v>3410</v>
      </c>
      <c r="AC631" s="300" t="s">
        <v>253</v>
      </c>
      <c r="AD631" s="299">
        <v>755</v>
      </c>
      <c r="AE631" s="299">
        <v>1</v>
      </c>
      <c r="AF631" s="294" t="s">
        <v>382</v>
      </c>
      <c r="AG631" s="294" t="s">
        <v>383</v>
      </c>
      <c r="AH631" s="294" t="s">
        <v>384</v>
      </c>
      <c r="AI631" s="301">
        <v>3397</v>
      </c>
    </row>
    <row r="632" spans="27:35" ht="16" customHeight="1">
      <c r="AA632" s="299">
        <v>2019</v>
      </c>
      <c r="AB632" s="299">
        <v>3410</v>
      </c>
      <c r="AC632" s="300" t="s">
        <v>253</v>
      </c>
      <c r="AD632" s="299">
        <v>755</v>
      </c>
      <c r="AE632" s="299">
        <v>2</v>
      </c>
      <c r="AF632" s="294" t="s">
        <v>320</v>
      </c>
      <c r="AG632" s="294" t="s">
        <v>321</v>
      </c>
      <c r="AH632" s="294" t="s">
        <v>322</v>
      </c>
      <c r="AI632" s="301">
        <v>3415996</v>
      </c>
    </row>
    <row r="633" spans="27:35" ht="16" customHeight="1">
      <c r="AA633" s="299">
        <v>2019</v>
      </c>
      <c r="AB633" s="299">
        <v>3410</v>
      </c>
      <c r="AC633" s="300" t="s">
        <v>253</v>
      </c>
      <c r="AD633" s="299">
        <v>755</v>
      </c>
      <c r="AE633" s="299">
        <v>3</v>
      </c>
      <c r="AF633" s="294" t="s">
        <v>320</v>
      </c>
      <c r="AG633" s="294" t="s">
        <v>321</v>
      </c>
      <c r="AH633" s="294" t="s">
        <v>323</v>
      </c>
      <c r="AI633" s="301">
        <v>871630</v>
      </c>
    </row>
    <row r="634" spans="27:35" ht="16" customHeight="1">
      <c r="AA634" s="299">
        <v>2019</v>
      </c>
      <c r="AB634" s="299">
        <v>3410</v>
      </c>
      <c r="AC634" s="300" t="s">
        <v>253</v>
      </c>
      <c r="AD634" s="299">
        <v>755</v>
      </c>
      <c r="AE634" s="299">
        <v>4</v>
      </c>
      <c r="AF634" s="294" t="s">
        <v>320</v>
      </c>
      <c r="AG634" s="294" t="s">
        <v>324</v>
      </c>
      <c r="AH634" s="294" t="s">
        <v>325</v>
      </c>
      <c r="AI634" s="301">
        <v>4367179</v>
      </c>
    </row>
    <row r="635" spans="27:35" ht="16" customHeight="1">
      <c r="AA635" s="299">
        <v>2019</v>
      </c>
      <c r="AB635" s="299">
        <v>3410</v>
      </c>
      <c r="AC635" s="300" t="s">
        <v>253</v>
      </c>
      <c r="AD635" s="299">
        <v>755</v>
      </c>
      <c r="AE635" s="299">
        <v>5</v>
      </c>
      <c r="AF635" s="294" t="s">
        <v>320</v>
      </c>
      <c r="AG635" s="294" t="s">
        <v>324</v>
      </c>
      <c r="AH635" s="294" t="s">
        <v>326</v>
      </c>
      <c r="AI635" s="301">
        <v>8654805</v>
      </c>
    </row>
    <row r="636" spans="27:35" ht="16" customHeight="1">
      <c r="AA636" s="299">
        <v>2019</v>
      </c>
      <c r="AB636" s="299">
        <v>3410</v>
      </c>
      <c r="AC636" s="300" t="s">
        <v>253</v>
      </c>
      <c r="AD636" s="299">
        <v>755</v>
      </c>
      <c r="AE636" s="299">
        <v>6</v>
      </c>
      <c r="AF636" s="294" t="s">
        <v>320</v>
      </c>
      <c r="AG636" s="294" t="s">
        <v>327</v>
      </c>
      <c r="AH636" s="294" t="s">
        <v>328</v>
      </c>
      <c r="AI636" s="301">
        <v>0</v>
      </c>
    </row>
    <row r="637" spans="27:35" ht="16" customHeight="1">
      <c r="AA637" s="299">
        <v>2019</v>
      </c>
      <c r="AB637" s="299">
        <v>3410</v>
      </c>
      <c r="AC637" s="300" t="s">
        <v>253</v>
      </c>
      <c r="AD637" s="299">
        <v>755</v>
      </c>
      <c r="AE637" s="299">
        <v>7</v>
      </c>
      <c r="AF637" s="294" t="s">
        <v>320</v>
      </c>
      <c r="AG637" s="294" t="s">
        <v>324</v>
      </c>
      <c r="AH637" s="294" t="s">
        <v>329</v>
      </c>
      <c r="AI637" s="301">
        <v>8654805</v>
      </c>
    </row>
    <row r="638" spans="27:35" ht="16" customHeight="1">
      <c r="AA638" s="299">
        <v>2019</v>
      </c>
      <c r="AB638" s="299">
        <v>3410</v>
      </c>
      <c r="AC638" s="300" t="s">
        <v>253</v>
      </c>
      <c r="AD638" s="299">
        <v>755</v>
      </c>
      <c r="AE638" s="299">
        <v>8</v>
      </c>
      <c r="AF638" s="294" t="s">
        <v>330</v>
      </c>
      <c r="AG638" s="294" t="s">
        <v>331</v>
      </c>
      <c r="AH638" s="294" t="s">
        <v>322</v>
      </c>
      <c r="AI638" s="301">
        <v>9403635</v>
      </c>
    </row>
    <row r="639" spans="27:35" ht="16" customHeight="1">
      <c r="AA639" s="299">
        <v>2019</v>
      </c>
      <c r="AB639" s="299">
        <v>3410</v>
      </c>
      <c r="AC639" s="300" t="s">
        <v>253</v>
      </c>
      <c r="AD639" s="299">
        <v>755</v>
      </c>
      <c r="AE639" s="299">
        <v>9</v>
      </c>
      <c r="AF639" s="294" t="s">
        <v>330</v>
      </c>
      <c r="AG639" s="294" t="s">
        <v>331</v>
      </c>
      <c r="AH639" s="294" t="s">
        <v>323</v>
      </c>
      <c r="AI639" s="301">
        <v>1893797</v>
      </c>
    </row>
    <row r="640" spans="27:35" ht="16" customHeight="1">
      <c r="AA640" s="299">
        <v>2019</v>
      </c>
      <c r="AB640" s="299">
        <v>3410</v>
      </c>
      <c r="AC640" s="300" t="s">
        <v>253</v>
      </c>
      <c r="AD640" s="299">
        <v>755</v>
      </c>
      <c r="AE640" s="299">
        <v>10</v>
      </c>
      <c r="AF640" s="294" t="s">
        <v>330</v>
      </c>
      <c r="AG640" s="294" t="s">
        <v>332</v>
      </c>
      <c r="AH640" s="294" t="s">
        <v>325</v>
      </c>
      <c r="AI640" s="301">
        <v>10786563</v>
      </c>
    </row>
    <row r="641" spans="27:35" ht="16" customHeight="1">
      <c r="AA641" s="299">
        <v>2019</v>
      </c>
      <c r="AB641" s="299">
        <v>3410</v>
      </c>
      <c r="AC641" s="300" t="s">
        <v>253</v>
      </c>
      <c r="AD641" s="299">
        <v>755</v>
      </c>
      <c r="AE641" s="299">
        <v>11</v>
      </c>
      <c r="AF641" s="294" t="s">
        <v>330</v>
      </c>
      <c r="AG641" s="294" t="s">
        <v>332</v>
      </c>
      <c r="AH641" s="294" t="s">
        <v>333</v>
      </c>
      <c r="AI641" s="301">
        <v>22083995</v>
      </c>
    </row>
    <row r="642" spans="27:35" ht="16" customHeight="1">
      <c r="AA642" s="299">
        <v>2019</v>
      </c>
      <c r="AB642" s="299">
        <v>3410</v>
      </c>
      <c r="AC642" s="300" t="s">
        <v>253</v>
      </c>
      <c r="AD642" s="299">
        <v>755</v>
      </c>
      <c r="AE642" s="299">
        <v>12</v>
      </c>
      <c r="AF642" s="294" t="s">
        <v>330</v>
      </c>
      <c r="AG642" s="294" t="s">
        <v>334</v>
      </c>
      <c r="AH642" s="294" t="s">
        <v>335</v>
      </c>
      <c r="AI642" s="301">
        <v>470850</v>
      </c>
    </row>
    <row r="643" spans="27:35" ht="16" customHeight="1">
      <c r="AA643" s="299">
        <v>2019</v>
      </c>
      <c r="AB643" s="299">
        <v>3410</v>
      </c>
      <c r="AC643" s="300" t="s">
        <v>253</v>
      </c>
      <c r="AD643" s="299">
        <v>755</v>
      </c>
      <c r="AE643" s="299">
        <v>13</v>
      </c>
      <c r="AF643" s="294" t="s">
        <v>330</v>
      </c>
      <c r="AG643" s="294" t="s">
        <v>336</v>
      </c>
      <c r="AH643" s="294" t="s">
        <v>308</v>
      </c>
      <c r="AI643" s="301">
        <v>1871802</v>
      </c>
    </row>
    <row r="644" spans="27:35" ht="16" customHeight="1">
      <c r="AA644" s="299">
        <v>2019</v>
      </c>
      <c r="AB644" s="299">
        <v>3410</v>
      </c>
      <c r="AC644" s="300" t="s">
        <v>253</v>
      </c>
      <c r="AD644" s="299">
        <v>755</v>
      </c>
      <c r="AE644" s="299">
        <v>14</v>
      </c>
      <c r="AF644" s="294" t="s">
        <v>330</v>
      </c>
      <c r="AG644" s="294" t="s">
        <v>337</v>
      </c>
      <c r="AH644" s="294" t="s">
        <v>338</v>
      </c>
      <c r="AI644" s="301">
        <v>24426647</v>
      </c>
    </row>
    <row r="645" spans="27:35" ht="16" customHeight="1">
      <c r="AA645" s="299">
        <v>2019</v>
      </c>
      <c r="AB645" s="299">
        <v>3410</v>
      </c>
      <c r="AC645" s="300" t="s">
        <v>253</v>
      </c>
      <c r="AD645" s="299">
        <v>755</v>
      </c>
      <c r="AE645" s="299">
        <v>15</v>
      </c>
      <c r="AF645" s="294" t="s">
        <v>385</v>
      </c>
      <c r="AG645" s="294" t="s">
        <v>386</v>
      </c>
      <c r="AH645" s="294" t="s">
        <v>387</v>
      </c>
      <c r="AI645" s="301">
        <v>0</v>
      </c>
    </row>
    <row r="646" spans="27:35" ht="16" customHeight="1">
      <c r="AA646" s="299">
        <v>2019</v>
      </c>
      <c r="AB646" s="299">
        <v>3410</v>
      </c>
      <c r="AC646" s="300" t="s">
        <v>253</v>
      </c>
      <c r="AD646" s="299">
        <v>755</v>
      </c>
      <c r="AE646" s="299">
        <v>16</v>
      </c>
      <c r="AF646" s="294" t="s">
        <v>385</v>
      </c>
      <c r="AG646" s="294" t="s">
        <v>386</v>
      </c>
      <c r="AH646" s="294" t="s">
        <v>388</v>
      </c>
      <c r="AI646" s="301">
        <v>2554000</v>
      </c>
    </row>
    <row r="647" spans="27:35" ht="16" customHeight="1">
      <c r="AA647" s="299">
        <v>2019</v>
      </c>
      <c r="AB647" s="299">
        <v>3410</v>
      </c>
      <c r="AC647" s="300" t="s">
        <v>253</v>
      </c>
      <c r="AD647" s="299">
        <v>755</v>
      </c>
      <c r="AE647" s="299">
        <v>17</v>
      </c>
      <c r="AF647" s="294" t="s">
        <v>385</v>
      </c>
      <c r="AG647" s="294" t="s">
        <v>386</v>
      </c>
      <c r="AH647" s="294" t="s">
        <v>389</v>
      </c>
      <c r="AI647" s="301">
        <v>21339000</v>
      </c>
    </row>
    <row r="648" spans="27:35" ht="16" customHeight="1">
      <c r="AA648" s="299">
        <v>2019</v>
      </c>
      <c r="AB648" s="299">
        <v>3410</v>
      </c>
      <c r="AC648" s="300" t="s">
        <v>253</v>
      </c>
      <c r="AD648" s="299">
        <v>755</v>
      </c>
      <c r="AE648" s="299">
        <v>18</v>
      </c>
      <c r="AF648" s="294" t="s">
        <v>385</v>
      </c>
      <c r="AG648" s="294" t="s">
        <v>386</v>
      </c>
      <c r="AH648" s="294" t="s">
        <v>390</v>
      </c>
      <c r="AI648" s="301">
        <v>3119000</v>
      </c>
    </row>
    <row r="649" spans="27:35" ht="16" customHeight="1">
      <c r="AA649" s="299">
        <v>2019</v>
      </c>
      <c r="AB649" s="299">
        <v>3410</v>
      </c>
      <c r="AC649" s="300" t="s">
        <v>253</v>
      </c>
      <c r="AD649" s="299">
        <v>755</v>
      </c>
      <c r="AE649" s="299">
        <v>19</v>
      </c>
      <c r="AF649" s="294" t="s">
        <v>385</v>
      </c>
      <c r="AG649" s="294" t="s">
        <v>386</v>
      </c>
      <c r="AH649" s="294" t="s">
        <v>391</v>
      </c>
      <c r="AI649" s="301">
        <v>14728000</v>
      </c>
    </row>
    <row r="650" spans="27:35" ht="16" customHeight="1">
      <c r="AA650" s="299">
        <v>2019</v>
      </c>
      <c r="AB650" s="299">
        <v>3410</v>
      </c>
      <c r="AC650" s="300" t="s">
        <v>253</v>
      </c>
      <c r="AD650" s="299">
        <v>755</v>
      </c>
      <c r="AE650" s="299">
        <v>20</v>
      </c>
      <c r="AF650" s="294" t="s">
        <v>385</v>
      </c>
      <c r="AG650" s="294" t="s">
        <v>386</v>
      </c>
      <c r="AH650" s="294" t="s">
        <v>392</v>
      </c>
      <c r="AI650" s="301">
        <v>74448000</v>
      </c>
    </row>
    <row r="651" spans="27:35" ht="16" customHeight="1">
      <c r="AA651" s="299">
        <v>2019</v>
      </c>
      <c r="AB651" s="299">
        <v>3410</v>
      </c>
      <c r="AC651" s="300" t="s">
        <v>253</v>
      </c>
      <c r="AD651" s="299">
        <v>755</v>
      </c>
      <c r="AE651" s="299">
        <v>21</v>
      </c>
      <c r="AF651" s="294" t="s">
        <v>385</v>
      </c>
      <c r="AG651" s="294" t="s">
        <v>386</v>
      </c>
      <c r="AH651" s="294" t="s">
        <v>393</v>
      </c>
      <c r="AI651" s="301">
        <v>1108000</v>
      </c>
    </row>
    <row r="652" spans="27:35" ht="16" customHeight="1">
      <c r="AA652" s="299">
        <v>2019</v>
      </c>
      <c r="AB652" s="299">
        <v>3410</v>
      </c>
      <c r="AC652" s="300" t="s">
        <v>253</v>
      </c>
      <c r="AD652" s="299">
        <v>755</v>
      </c>
      <c r="AE652" s="299">
        <v>22</v>
      </c>
      <c r="AF652" s="294" t="s">
        <v>385</v>
      </c>
      <c r="AG652" s="294" t="s">
        <v>386</v>
      </c>
      <c r="AH652" s="294" t="s">
        <v>394</v>
      </c>
      <c r="AI652" s="301">
        <v>450000</v>
      </c>
    </row>
    <row r="653" spans="27:35" ht="16" customHeight="1">
      <c r="AA653" s="299">
        <v>2019</v>
      </c>
      <c r="AB653" s="299">
        <v>3410</v>
      </c>
      <c r="AC653" s="300" t="s">
        <v>253</v>
      </c>
      <c r="AD653" s="299">
        <v>755</v>
      </c>
      <c r="AE653" s="299">
        <v>23</v>
      </c>
      <c r="AF653" s="294" t="s">
        <v>385</v>
      </c>
      <c r="AG653" s="294" t="s">
        <v>386</v>
      </c>
      <c r="AH653" s="294" t="s">
        <v>395</v>
      </c>
      <c r="AI653" s="301">
        <v>0</v>
      </c>
    </row>
    <row r="654" spans="27:35" ht="16" customHeight="1">
      <c r="AA654" s="299">
        <v>2019</v>
      </c>
      <c r="AB654" s="299">
        <v>3410</v>
      </c>
      <c r="AC654" s="300" t="s">
        <v>253</v>
      </c>
      <c r="AD654" s="299">
        <v>755</v>
      </c>
      <c r="AE654" s="299">
        <v>24</v>
      </c>
      <c r="AF654" s="294" t="s">
        <v>385</v>
      </c>
      <c r="AG654" s="294" t="s">
        <v>386</v>
      </c>
      <c r="AH654" s="294" t="s">
        <v>396</v>
      </c>
      <c r="AI654" s="301">
        <v>1000</v>
      </c>
    </row>
    <row r="655" spans="27:35" ht="16" customHeight="1">
      <c r="AA655" s="299">
        <v>2019</v>
      </c>
      <c r="AB655" s="299">
        <v>3410</v>
      </c>
      <c r="AC655" s="300" t="s">
        <v>253</v>
      </c>
      <c r="AD655" s="299">
        <v>755</v>
      </c>
      <c r="AE655" s="299">
        <v>25</v>
      </c>
      <c r="AF655" s="294" t="s">
        <v>385</v>
      </c>
      <c r="AG655" s="294" t="s">
        <v>386</v>
      </c>
      <c r="AH655" s="294" t="s">
        <v>397</v>
      </c>
      <c r="AI655" s="301">
        <v>14605000</v>
      </c>
    </row>
    <row r="656" spans="27:35" ht="16" customHeight="1">
      <c r="AA656" s="299">
        <v>2019</v>
      </c>
      <c r="AB656" s="299">
        <v>3410</v>
      </c>
      <c r="AC656" s="300" t="s">
        <v>253</v>
      </c>
      <c r="AD656" s="299">
        <v>755</v>
      </c>
      <c r="AE656" s="299">
        <v>26</v>
      </c>
      <c r="AF656" s="294" t="s">
        <v>385</v>
      </c>
      <c r="AG656" s="294" t="s">
        <v>386</v>
      </c>
      <c r="AH656" s="294" t="s">
        <v>398</v>
      </c>
      <c r="AI656" s="301">
        <v>3186000</v>
      </c>
    </row>
    <row r="657" spans="27:35" ht="16" customHeight="1">
      <c r="AA657" s="299">
        <v>2019</v>
      </c>
      <c r="AB657" s="299">
        <v>3410</v>
      </c>
      <c r="AC657" s="300" t="s">
        <v>253</v>
      </c>
      <c r="AD657" s="299">
        <v>755</v>
      </c>
      <c r="AE657" s="299">
        <v>27</v>
      </c>
      <c r="AF657" s="294" t="s">
        <v>385</v>
      </c>
      <c r="AG657" s="294" t="s">
        <v>386</v>
      </c>
      <c r="AH657" s="294" t="s">
        <v>399</v>
      </c>
      <c r="AI657" s="301">
        <v>16000</v>
      </c>
    </row>
    <row r="658" spans="27:35" ht="16" customHeight="1">
      <c r="AA658" s="299">
        <v>2019</v>
      </c>
      <c r="AB658" s="299">
        <v>3410</v>
      </c>
      <c r="AC658" s="300" t="s">
        <v>253</v>
      </c>
      <c r="AD658" s="299">
        <v>755</v>
      </c>
      <c r="AE658" s="299">
        <v>28</v>
      </c>
      <c r="AF658" s="294" t="s">
        <v>385</v>
      </c>
      <c r="AG658" s="294" t="s">
        <v>386</v>
      </c>
      <c r="AH658" s="294" t="s">
        <v>400</v>
      </c>
      <c r="AI658" s="301">
        <v>3850000</v>
      </c>
    </row>
    <row r="659" spans="27:35" ht="16" customHeight="1">
      <c r="AA659" s="299">
        <v>2019</v>
      </c>
      <c r="AB659" s="299">
        <v>3410</v>
      </c>
      <c r="AC659" s="300" t="s">
        <v>253</v>
      </c>
      <c r="AD659" s="299">
        <v>755</v>
      </c>
      <c r="AE659" s="299">
        <v>29</v>
      </c>
      <c r="AF659" s="294" t="s">
        <v>385</v>
      </c>
      <c r="AG659" s="294" t="s">
        <v>401</v>
      </c>
      <c r="AH659" s="294" t="s">
        <v>402</v>
      </c>
      <c r="AI659" s="301">
        <v>122000</v>
      </c>
    </row>
    <row r="660" spans="27:35" ht="16" customHeight="1">
      <c r="AA660" s="299">
        <v>2019</v>
      </c>
      <c r="AB660" s="299">
        <v>3410</v>
      </c>
      <c r="AC660" s="300" t="s">
        <v>253</v>
      </c>
      <c r="AD660" s="299">
        <v>755</v>
      </c>
      <c r="AE660" s="299">
        <v>30</v>
      </c>
      <c r="AF660" s="294" t="s">
        <v>385</v>
      </c>
      <c r="AG660" s="294" t="s">
        <v>401</v>
      </c>
      <c r="AH660" s="294" t="s">
        <v>403</v>
      </c>
      <c r="AI660" s="301">
        <v>139526000</v>
      </c>
    </row>
    <row r="661" spans="27:35" ht="16" customHeight="1">
      <c r="AA661" s="299">
        <v>2019</v>
      </c>
      <c r="AB661" s="299">
        <v>3410</v>
      </c>
      <c r="AC661" s="300" t="s">
        <v>253</v>
      </c>
      <c r="AD661" s="299">
        <v>755</v>
      </c>
      <c r="AE661" s="299">
        <v>31</v>
      </c>
      <c r="AF661" s="294" t="s">
        <v>385</v>
      </c>
      <c r="AG661" s="294" t="s">
        <v>404</v>
      </c>
      <c r="AH661" s="294" t="s">
        <v>387</v>
      </c>
      <c r="AI661" s="301">
        <v>0</v>
      </c>
    </row>
    <row r="662" spans="27:35" ht="16" customHeight="1">
      <c r="AA662" s="299">
        <v>2019</v>
      </c>
      <c r="AB662" s="299">
        <v>3410</v>
      </c>
      <c r="AC662" s="300" t="s">
        <v>253</v>
      </c>
      <c r="AD662" s="299">
        <v>755</v>
      </c>
      <c r="AE662" s="299">
        <v>32</v>
      </c>
      <c r="AF662" s="294" t="s">
        <v>385</v>
      </c>
      <c r="AG662" s="294" t="s">
        <v>404</v>
      </c>
      <c r="AH662" s="294" t="s">
        <v>388</v>
      </c>
      <c r="AI662" s="301">
        <v>2242000</v>
      </c>
    </row>
    <row r="663" spans="27:35" ht="16" customHeight="1">
      <c r="AA663" s="299">
        <v>2019</v>
      </c>
      <c r="AB663" s="299">
        <v>3410</v>
      </c>
      <c r="AC663" s="300" t="s">
        <v>253</v>
      </c>
      <c r="AD663" s="299">
        <v>755</v>
      </c>
      <c r="AE663" s="299">
        <v>33</v>
      </c>
      <c r="AF663" s="294" t="s">
        <v>385</v>
      </c>
      <c r="AG663" s="294" t="s">
        <v>404</v>
      </c>
      <c r="AH663" s="294" t="s">
        <v>389</v>
      </c>
      <c r="AI663" s="301">
        <v>20251000</v>
      </c>
    </row>
    <row r="664" spans="27:35" ht="16" customHeight="1">
      <c r="AA664" s="299">
        <v>2019</v>
      </c>
      <c r="AB664" s="299">
        <v>3410</v>
      </c>
      <c r="AC664" s="300" t="s">
        <v>253</v>
      </c>
      <c r="AD664" s="299">
        <v>755</v>
      </c>
      <c r="AE664" s="299">
        <v>34</v>
      </c>
      <c r="AF664" s="294" t="s">
        <v>385</v>
      </c>
      <c r="AG664" s="294" t="s">
        <v>404</v>
      </c>
      <c r="AH664" s="294" t="s">
        <v>390</v>
      </c>
      <c r="AI664" s="301">
        <v>3042000</v>
      </c>
    </row>
    <row r="665" spans="27:35" ht="16" customHeight="1">
      <c r="AA665" s="299">
        <v>2019</v>
      </c>
      <c r="AB665" s="299">
        <v>3410</v>
      </c>
      <c r="AC665" s="300" t="s">
        <v>253</v>
      </c>
      <c r="AD665" s="299">
        <v>755</v>
      </c>
      <c r="AE665" s="299">
        <v>35</v>
      </c>
      <c r="AF665" s="294" t="s">
        <v>385</v>
      </c>
      <c r="AG665" s="294" t="s">
        <v>404</v>
      </c>
      <c r="AH665" s="294" t="s">
        <v>391</v>
      </c>
      <c r="AI665" s="301">
        <v>14799000</v>
      </c>
    </row>
    <row r="666" spans="27:35" ht="16" customHeight="1">
      <c r="AA666" s="299">
        <v>2019</v>
      </c>
      <c r="AB666" s="299">
        <v>3410</v>
      </c>
      <c r="AC666" s="300" t="s">
        <v>253</v>
      </c>
      <c r="AD666" s="299">
        <v>755</v>
      </c>
      <c r="AE666" s="299">
        <v>36</v>
      </c>
      <c r="AF666" s="294" t="s">
        <v>385</v>
      </c>
      <c r="AG666" s="294" t="s">
        <v>404</v>
      </c>
      <c r="AH666" s="294" t="s">
        <v>392</v>
      </c>
      <c r="AI666" s="301">
        <v>72016000</v>
      </c>
    </row>
    <row r="667" spans="27:35" ht="16" customHeight="1">
      <c r="AA667" s="299">
        <v>2019</v>
      </c>
      <c r="AB667" s="299">
        <v>3410</v>
      </c>
      <c r="AC667" s="300" t="s">
        <v>253</v>
      </c>
      <c r="AD667" s="299">
        <v>755</v>
      </c>
      <c r="AE667" s="299">
        <v>37</v>
      </c>
      <c r="AF667" s="294" t="s">
        <v>385</v>
      </c>
      <c r="AG667" s="294" t="s">
        <v>404</v>
      </c>
      <c r="AH667" s="294" t="s">
        <v>393</v>
      </c>
      <c r="AI667" s="301">
        <v>1130000</v>
      </c>
    </row>
    <row r="668" spans="27:35" ht="16" customHeight="1">
      <c r="AA668" s="299">
        <v>2019</v>
      </c>
      <c r="AB668" s="299">
        <v>3410</v>
      </c>
      <c r="AC668" s="300" t="s">
        <v>253</v>
      </c>
      <c r="AD668" s="299">
        <v>755</v>
      </c>
      <c r="AE668" s="299">
        <v>38</v>
      </c>
      <c r="AF668" s="294" t="s">
        <v>385</v>
      </c>
      <c r="AG668" s="294" t="s">
        <v>404</v>
      </c>
      <c r="AH668" s="294" t="s">
        <v>394</v>
      </c>
      <c r="AI668" s="301">
        <v>443000</v>
      </c>
    </row>
    <row r="669" spans="27:35" ht="16" customHeight="1">
      <c r="AA669" s="299">
        <v>2019</v>
      </c>
      <c r="AB669" s="299">
        <v>3410</v>
      </c>
      <c r="AC669" s="300" t="s">
        <v>253</v>
      </c>
      <c r="AD669" s="299">
        <v>755</v>
      </c>
      <c r="AE669" s="299">
        <v>39</v>
      </c>
      <c r="AF669" s="294" t="s">
        <v>385</v>
      </c>
      <c r="AG669" s="294" t="s">
        <v>404</v>
      </c>
      <c r="AH669" s="294" t="s">
        <v>395</v>
      </c>
      <c r="AI669" s="301">
        <v>3000</v>
      </c>
    </row>
    <row r="670" spans="27:35" ht="16" customHeight="1">
      <c r="AA670" s="299">
        <v>2019</v>
      </c>
      <c r="AB670" s="299">
        <v>3410</v>
      </c>
      <c r="AC670" s="300" t="s">
        <v>253</v>
      </c>
      <c r="AD670" s="299">
        <v>755</v>
      </c>
      <c r="AE670" s="299">
        <v>40</v>
      </c>
      <c r="AF670" s="294" t="s">
        <v>385</v>
      </c>
      <c r="AG670" s="294" t="s">
        <v>404</v>
      </c>
      <c r="AH670" s="294" t="s">
        <v>396</v>
      </c>
      <c r="AI670" s="301">
        <v>0</v>
      </c>
    </row>
    <row r="671" spans="27:35" ht="16" customHeight="1">
      <c r="AA671" s="299">
        <v>2019</v>
      </c>
      <c r="AB671" s="299">
        <v>3410</v>
      </c>
      <c r="AC671" s="300" t="s">
        <v>253</v>
      </c>
      <c r="AD671" s="299">
        <v>755</v>
      </c>
      <c r="AE671" s="299">
        <v>41</v>
      </c>
      <c r="AF671" s="294" t="s">
        <v>385</v>
      </c>
      <c r="AG671" s="294" t="s">
        <v>404</v>
      </c>
      <c r="AH671" s="294" t="s">
        <v>397</v>
      </c>
      <c r="AI671" s="301">
        <v>761000</v>
      </c>
    </row>
    <row r="672" spans="27:35" ht="16" customHeight="1">
      <c r="AA672" s="299">
        <v>2019</v>
      </c>
      <c r="AB672" s="299">
        <v>3410</v>
      </c>
      <c r="AC672" s="300" t="s">
        <v>253</v>
      </c>
      <c r="AD672" s="299">
        <v>755</v>
      </c>
      <c r="AE672" s="299">
        <v>42</v>
      </c>
      <c r="AF672" s="294" t="s">
        <v>385</v>
      </c>
      <c r="AG672" s="294" t="s">
        <v>404</v>
      </c>
      <c r="AH672" s="294" t="s">
        <v>398</v>
      </c>
      <c r="AI672" s="301">
        <v>1885000</v>
      </c>
    </row>
    <row r="673" spans="27:35" ht="16" customHeight="1">
      <c r="AA673" s="299">
        <v>2019</v>
      </c>
      <c r="AB673" s="299">
        <v>3410</v>
      </c>
      <c r="AC673" s="300" t="s">
        <v>253</v>
      </c>
      <c r="AD673" s="299">
        <v>755</v>
      </c>
      <c r="AE673" s="299">
        <v>43</v>
      </c>
      <c r="AF673" s="294" t="s">
        <v>385</v>
      </c>
      <c r="AG673" s="294" t="s">
        <v>404</v>
      </c>
      <c r="AH673" s="294" t="s">
        <v>399</v>
      </c>
      <c r="AI673" s="301">
        <v>14000</v>
      </c>
    </row>
    <row r="674" spans="27:35" ht="16" customHeight="1">
      <c r="AA674" s="299">
        <v>2019</v>
      </c>
      <c r="AB674" s="299">
        <v>3410</v>
      </c>
      <c r="AC674" s="300" t="s">
        <v>253</v>
      </c>
      <c r="AD674" s="299">
        <v>755</v>
      </c>
      <c r="AE674" s="299">
        <v>44</v>
      </c>
      <c r="AF674" s="294" t="s">
        <v>385</v>
      </c>
      <c r="AG674" s="294" t="s">
        <v>404</v>
      </c>
      <c r="AH674" s="294" t="s">
        <v>400</v>
      </c>
      <c r="AI674" s="301">
        <v>4144000</v>
      </c>
    </row>
    <row r="675" spans="27:35" ht="16" customHeight="1">
      <c r="AA675" s="299">
        <v>2019</v>
      </c>
      <c r="AB675" s="299">
        <v>3410</v>
      </c>
      <c r="AC675" s="300" t="s">
        <v>253</v>
      </c>
      <c r="AD675" s="299">
        <v>755</v>
      </c>
      <c r="AE675" s="299">
        <v>45</v>
      </c>
      <c r="AF675" s="294" t="s">
        <v>385</v>
      </c>
      <c r="AG675" s="294" t="s">
        <v>405</v>
      </c>
      <c r="AH675" s="294" t="s">
        <v>402</v>
      </c>
      <c r="AI675" s="301">
        <v>212000</v>
      </c>
    </row>
    <row r="676" spans="27:35" ht="16" customHeight="1">
      <c r="AA676" s="299">
        <v>2019</v>
      </c>
      <c r="AB676" s="299">
        <v>3410</v>
      </c>
      <c r="AC676" s="300" t="s">
        <v>253</v>
      </c>
      <c r="AD676" s="299">
        <v>755</v>
      </c>
      <c r="AE676" s="299">
        <v>46</v>
      </c>
      <c r="AF676" s="294" t="s">
        <v>385</v>
      </c>
      <c r="AG676" s="294" t="s">
        <v>405</v>
      </c>
      <c r="AH676" s="294" t="s">
        <v>406</v>
      </c>
      <c r="AI676" s="301">
        <v>120942000</v>
      </c>
    </row>
    <row r="677" spans="27:35" ht="16" customHeight="1">
      <c r="AA677" s="299">
        <v>2019</v>
      </c>
      <c r="AB677" s="299">
        <v>3410</v>
      </c>
      <c r="AC677" s="300" t="s">
        <v>253</v>
      </c>
      <c r="AD677" s="299">
        <v>755</v>
      </c>
      <c r="AE677" s="299">
        <v>47</v>
      </c>
      <c r="AF677" s="294" t="s">
        <v>385</v>
      </c>
      <c r="AG677" s="294" t="s">
        <v>407</v>
      </c>
      <c r="AH677" s="294" t="s">
        <v>387</v>
      </c>
      <c r="AI677" s="301">
        <v>0</v>
      </c>
    </row>
    <row r="678" spans="27:35" ht="16" customHeight="1">
      <c r="AA678" s="299">
        <v>2019</v>
      </c>
      <c r="AB678" s="299">
        <v>3410</v>
      </c>
      <c r="AC678" s="300" t="s">
        <v>253</v>
      </c>
      <c r="AD678" s="299">
        <v>755</v>
      </c>
      <c r="AE678" s="299">
        <v>48</v>
      </c>
      <c r="AF678" s="294" t="s">
        <v>385</v>
      </c>
      <c r="AG678" s="294" t="s">
        <v>407</v>
      </c>
      <c r="AH678" s="294" t="s">
        <v>388</v>
      </c>
      <c r="AI678" s="301">
        <v>3444000</v>
      </c>
    </row>
    <row r="679" spans="27:35" ht="16" customHeight="1">
      <c r="AA679" s="299">
        <v>2019</v>
      </c>
      <c r="AB679" s="299">
        <v>3410</v>
      </c>
      <c r="AC679" s="300" t="s">
        <v>253</v>
      </c>
      <c r="AD679" s="299">
        <v>755</v>
      </c>
      <c r="AE679" s="299">
        <v>49</v>
      </c>
      <c r="AF679" s="294" t="s">
        <v>385</v>
      </c>
      <c r="AG679" s="294" t="s">
        <v>407</v>
      </c>
      <c r="AH679" s="294" t="s">
        <v>389</v>
      </c>
      <c r="AI679" s="301">
        <v>18967000</v>
      </c>
    </row>
    <row r="680" spans="27:35" ht="16" customHeight="1">
      <c r="AA680" s="299">
        <v>2019</v>
      </c>
      <c r="AB680" s="299">
        <v>3410</v>
      </c>
      <c r="AC680" s="300" t="s">
        <v>253</v>
      </c>
      <c r="AD680" s="299">
        <v>755</v>
      </c>
      <c r="AE680" s="299">
        <v>50</v>
      </c>
      <c r="AF680" s="294" t="s">
        <v>385</v>
      </c>
      <c r="AG680" s="294" t="s">
        <v>407</v>
      </c>
      <c r="AH680" s="294" t="s">
        <v>390</v>
      </c>
      <c r="AI680" s="301">
        <v>27319000</v>
      </c>
    </row>
    <row r="681" spans="27:35" ht="16" customHeight="1">
      <c r="AA681" s="299">
        <v>2019</v>
      </c>
      <c r="AB681" s="299">
        <v>3410</v>
      </c>
      <c r="AC681" s="300" t="s">
        <v>253</v>
      </c>
      <c r="AD681" s="299">
        <v>755</v>
      </c>
      <c r="AE681" s="299">
        <v>51</v>
      </c>
      <c r="AF681" s="294" t="s">
        <v>385</v>
      </c>
      <c r="AG681" s="294" t="s">
        <v>407</v>
      </c>
      <c r="AH681" s="294" t="s">
        <v>391</v>
      </c>
      <c r="AI681" s="301">
        <v>3029000</v>
      </c>
    </row>
    <row r="682" spans="27:35" ht="16" customHeight="1">
      <c r="AA682" s="299">
        <v>2019</v>
      </c>
      <c r="AB682" s="299">
        <v>3410</v>
      </c>
      <c r="AC682" s="300" t="s">
        <v>253</v>
      </c>
      <c r="AD682" s="299">
        <v>755</v>
      </c>
      <c r="AE682" s="299">
        <v>52</v>
      </c>
      <c r="AF682" s="294" t="s">
        <v>385</v>
      </c>
      <c r="AG682" s="294" t="s">
        <v>407</v>
      </c>
      <c r="AH682" s="294" t="s">
        <v>392</v>
      </c>
      <c r="AI682" s="301">
        <v>39721000</v>
      </c>
    </row>
    <row r="683" spans="27:35" ht="16" customHeight="1">
      <c r="AA683" s="299">
        <v>2019</v>
      </c>
      <c r="AB683" s="299">
        <v>3410</v>
      </c>
      <c r="AC683" s="300" t="s">
        <v>253</v>
      </c>
      <c r="AD683" s="299">
        <v>755</v>
      </c>
      <c r="AE683" s="299">
        <v>53</v>
      </c>
      <c r="AF683" s="294" t="s">
        <v>385</v>
      </c>
      <c r="AG683" s="294" t="s">
        <v>407</v>
      </c>
      <c r="AH683" s="294" t="s">
        <v>393</v>
      </c>
      <c r="AI683" s="301">
        <v>67000</v>
      </c>
    </row>
    <row r="684" spans="27:35" ht="16" customHeight="1">
      <c r="AA684" s="299">
        <v>2019</v>
      </c>
      <c r="AB684" s="299">
        <v>3410</v>
      </c>
      <c r="AC684" s="300" t="s">
        <v>253</v>
      </c>
      <c r="AD684" s="299">
        <v>755</v>
      </c>
      <c r="AE684" s="299">
        <v>54</v>
      </c>
      <c r="AF684" s="294" t="s">
        <v>385</v>
      </c>
      <c r="AG684" s="294" t="s">
        <v>407</v>
      </c>
      <c r="AH684" s="294" t="s">
        <v>394</v>
      </c>
      <c r="AI684" s="301">
        <v>28216000</v>
      </c>
    </row>
    <row r="685" spans="27:35" ht="16" customHeight="1">
      <c r="AA685" s="299">
        <v>2019</v>
      </c>
      <c r="AB685" s="299">
        <v>3410</v>
      </c>
      <c r="AC685" s="300" t="s">
        <v>253</v>
      </c>
      <c r="AD685" s="299">
        <v>755</v>
      </c>
      <c r="AE685" s="299">
        <v>55</v>
      </c>
      <c r="AF685" s="294" t="s">
        <v>385</v>
      </c>
      <c r="AG685" s="294" t="s">
        <v>407</v>
      </c>
      <c r="AH685" s="294" t="s">
        <v>395</v>
      </c>
      <c r="AI685" s="301">
        <v>0</v>
      </c>
    </row>
    <row r="686" spans="27:35" ht="16" customHeight="1">
      <c r="AA686" s="299">
        <v>2019</v>
      </c>
      <c r="AB686" s="299">
        <v>3410</v>
      </c>
      <c r="AC686" s="300" t="s">
        <v>253</v>
      </c>
      <c r="AD686" s="299">
        <v>755</v>
      </c>
      <c r="AE686" s="299">
        <v>56</v>
      </c>
      <c r="AF686" s="294" t="s">
        <v>385</v>
      </c>
      <c r="AG686" s="294" t="s">
        <v>407</v>
      </c>
      <c r="AH686" s="294" t="s">
        <v>396</v>
      </c>
      <c r="AI686" s="301">
        <v>0</v>
      </c>
    </row>
    <row r="687" spans="27:35" ht="16" customHeight="1">
      <c r="AA687" s="299">
        <v>2019</v>
      </c>
      <c r="AB687" s="299">
        <v>3410</v>
      </c>
      <c r="AC687" s="300" t="s">
        <v>253</v>
      </c>
      <c r="AD687" s="299">
        <v>755</v>
      </c>
      <c r="AE687" s="299">
        <v>57</v>
      </c>
      <c r="AF687" s="294" t="s">
        <v>385</v>
      </c>
      <c r="AG687" s="294" t="s">
        <v>407</v>
      </c>
      <c r="AH687" s="294" t="s">
        <v>397</v>
      </c>
      <c r="AI687" s="301">
        <v>41357000</v>
      </c>
    </row>
    <row r="688" spans="27:35" ht="16" customHeight="1">
      <c r="AA688" s="299">
        <v>2019</v>
      </c>
      <c r="AB688" s="299">
        <v>3410</v>
      </c>
      <c r="AC688" s="300" t="s">
        <v>253</v>
      </c>
      <c r="AD688" s="299">
        <v>755</v>
      </c>
      <c r="AE688" s="299">
        <v>58</v>
      </c>
      <c r="AF688" s="294" t="s">
        <v>385</v>
      </c>
      <c r="AG688" s="294" t="s">
        <v>407</v>
      </c>
      <c r="AH688" s="294" t="s">
        <v>398</v>
      </c>
      <c r="AI688" s="301">
        <v>9719000</v>
      </c>
    </row>
    <row r="689" spans="27:35" ht="16" customHeight="1">
      <c r="AA689" s="299">
        <v>2019</v>
      </c>
      <c r="AB689" s="299">
        <v>3410</v>
      </c>
      <c r="AC689" s="300" t="s">
        <v>253</v>
      </c>
      <c r="AD689" s="299">
        <v>755</v>
      </c>
      <c r="AE689" s="299">
        <v>59</v>
      </c>
      <c r="AF689" s="294" t="s">
        <v>385</v>
      </c>
      <c r="AG689" s="294" t="s">
        <v>407</v>
      </c>
      <c r="AH689" s="294" t="s">
        <v>399</v>
      </c>
      <c r="AI689" s="301">
        <v>0</v>
      </c>
    </row>
    <row r="690" spans="27:35" ht="16" customHeight="1">
      <c r="AA690" s="299">
        <v>2019</v>
      </c>
      <c r="AB690" s="299">
        <v>3410</v>
      </c>
      <c r="AC690" s="300" t="s">
        <v>253</v>
      </c>
      <c r="AD690" s="299">
        <v>755</v>
      </c>
      <c r="AE690" s="299">
        <v>60</v>
      </c>
      <c r="AF690" s="294" t="s">
        <v>385</v>
      </c>
      <c r="AG690" s="294" t="s">
        <v>407</v>
      </c>
      <c r="AH690" s="294" t="s">
        <v>400</v>
      </c>
      <c r="AI690" s="301">
        <v>4818000</v>
      </c>
    </row>
    <row r="691" spans="27:35" ht="16" customHeight="1">
      <c r="AA691" s="299">
        <v>2019</v>
      </c>
      <c r="AB691" s="299">
        <v>3410</v>
      </c>
      <c r="AC691" s="300" t="s">
        <v>253</v>
      </c>
      <c r="AD691" s="299">
        <v>755</v>
      </c>
      <c r="AE691" s="299">
        <v>61</v>
      </c>
      <c r="AF691" s="294" t="s">
        <v>385</v>
      </c>
      <c r="AG691" s="294" t="s">
        <v>407</v>
      </c>
      <c r="AH691" s="294" t="s">
        <v>408</v>
      </c>
      <c r="AI691" s="301">
        <v>8312000</v>
      </c>
    </row>
    <row r="692" spans="27:35" ht="16" customHeight="1">
      <c r="AA692" s="299">
        <v>2019</v>
      </c>
      <c r="AB692" s="299">
        <v>3410</v>
      </c>
      <c r="AC692" s="300" t="s">
        <v>253</v>
      </c>
      <c r="AD692" s="299">
        <v>755</v>
      </c>
      <c r="AE692" s="299">
        <v>62</v>
      </c>
      <c r="AF692" s="294" t="s">
        <v>385</v>
      </c>
      <c r="AG692" s="294" t="s">
        <v>407</v>
      </c>
      <c r="AH692" s="294" t="s">
        <v>409</v>
      </c>
      <c r="AI692" s="301">
        <v>68768000</v>
      </c>
    </row>
    <row r="693" spans="27:35" ht="16" customHeight="1">
      <c r="AA693" s="299">
        <v>2019</v>
      </c>
      <c r="AB693" s="299">
        <v>3410</v>
      </c>
      <c r="AC693" s="300" t="s">
        <v>253</v>
      </c>
      <c r="AD693" s="299">
        <v>755</v>
      </c>
      <c r="AE693" s="299">
        <v>63</v>
      </c>
      <c r="AF693" s="294" t="s">
        <v>385</v>
      </c>
      <c r="AG693" s="294" t="s">
        <v>410</v>
      </c>
      <c r="AH693" s="294" t="s">
        <v>402</v>
      </c>
      <c r="AI693" s="301">
        <v>65000</v>
      </c>
    </row>
    <row r="694" spans="27:35" ht="16" customHeight="1">
      <c r="AA694" s="299">
        <v>2019</v>
      </c>
      <c r="AB694" s="299">
        <v>3410</v>
      </c>
      <c r="AC694" s="300" t="s">
        <v>253</v>
      </c>
      <c r="AD694" s="299">
        <v>755</v>
      </c>
      <c r="AE694" s="299">
        <v>64</v>
      </c>
      <c r="AF694" s="294" t="s">
        <v>385</v>
      </c>
      <c r="AG694" s="294" t="s">
        <v>410</v>
      </c>
      <c r="AH694" s="294" t="s">
        <v>411</v>
      </c>
      <c r="AI694" s="301">
        <v>253802000</v>
      </c>
    </row>
    <row r="695" spans="27:35" ht="16" customHeight="1">
      <c r="AA695" s="299">
        <v>2019</v>
      </c>
      <c r="AB695" s="299">
        <v>3410</v>
      </c>
      <c r="AC695" s="300" t="s">
        <v>253</v>
      </c>
      <c r="AD695" s="299">
        <v>755</v>
      </c>
      <c r="AE695" s="299">
        <v>65</v>
      </c>
      <c r="AF695" s="294" t="s">
        <v>385</v>
      </c>
      <c r="AG695" s="294" t="s">
        <v>412</v>
      </c>
      <c r="AH695" s="294" t="s">
        <v>387</v>
      </c>
      <c r="AI695" s="301">
        <v>0</v>
      </c>
    </row>
    <row r="696" spans="27:35" ht="16" customHeight="1">
      <c r="AA696" s="299">
        <v>2019</v>
      </c>
      <c r="AB696" s="299">
        <v>3410</v>
      </c>
      <c r="AC696" s="300" t="s">
        <v>253</v>
      </c>
      <c r="AD696" s="299">
        <v>755</v>
      </c>
      <c r="AE696" s="299">
        <v>66</v>
      </c>
      <c r="AF696" s="294" t="s">
        <v>385</v>
      </c>
      <c r="AG696" s="294" t="s">
        <v>412</v>
      </c>
      <c r="AH696" s="294" t="s">
        <v>388</v>
      </c>
      <c r="AI696" s="301">
        <v>2728000</v>
      </c>
    </row>
    <row r="697" spans="27:35" ht="16" customHeight="1">
      <c r="AA697" s="299">
        <v>2019</v>
      </c>
      <c r="AB697" s="299">
        <v>3410</v>
      </c>
      <c r="AC697" s="300" t="s">
        <v>253</v>
      </c>
      <c r="AD697" s="299">
        <v>755</v>
      </c>
      <c r="AE697" s="299">
        <v>67</v>
      </c>
      <c r="AF697" s="294" t="s">
        <v>385</v>
      </c>
      <c r="AG697" s="294" t="s">
        <v>412</v>
      </c>
      <c r="AH697" s="294" t="s">
        <v>389</v>
      </c>
      <c r="AI697" s="301">
        <v>11750000</v>
      </c>
    </row>
    <row r="698" spans="27:35" ht="16" customHeight="1">
      <c r="AA698" s="299">
        <v>2019</v>
      </c>
      <c r="AB698" s="299">
        <v>3410</v>
      </c>
      <c r="AC698" s="300" t="s">
        <v>253</v>
      </c>
      <c r="AD698" s="299">
        <v>755</v>
      </c>
      <c r="AE698" s="299">
        <v>68</v>
      </c>
      <c r="AF698" s="294" t="s">
        <v>385</v>
      </c>
      <c r="AG698" s="294" t="s">
        <v>412</v>
      </c>
      <c r="AH698" s="294" t="s">
        <v>390</v>
      </c>
      <c r="AI698" s="301">
        <v>27112000</v>
      </c>
    </row>
    <row r="699" spans="27:35" ht="16" customHeight="1">
      <c r="AA699" s="299">
        <v>2019</v>
      </c>
      <c r="AB699" s="299">
        <v>3410</v>
      </c>
      <c r="AC699" s="300" t="s">
        <v>253</v>
      </c>
      <c r="AD699" s="299">
        <v>755</v>
      </c>
      <c r="AE699" s="299">
        <v>69</v>
      </c>
      <c r="AF699" s="294" t="s">
        <v>385</v>
      </c>
      <c r="AG699" s="294" t="s">
        <v>412</v>
      </c>
      <c r="AH699" s="294" t="s">
        <v>391</v>
      </c>
      <c r="AI699" s="301">
        <v>2928000</v>
      </c>
    </row>
    <row r="700" spans="27:35" ht="16" customHeight="1">
      <c r="AA700" s="299">
        <v>2019</v>
      </c>
      <c r="AB700" s="299">
        <v>3410</v>
      </c>
      <c r="AC700" s="300" t="s">
        <v>253</v>
      </c>
      <c r="AD700" s="299">
        <v>755</v>
      </c>
      <c r="AE700" s="299">
        <v>70</v>
      </c>
      <c r="AF700" s="294" t="s">
        <v>385</v>
      </c>
      <c r="AG700" s="294" t="s">
        <v>412</v>
      </c>
      <c r="AH700" s="294" t="s">
        <v>392</v>
      </c>
      <c r="AI700" s="301">
        <v>40736000</v>
      </c>
    </row>
    <row r="701" spans="27:35" ht="16" customHeight="1">
      <c r="AA701" s="299">
        <v>2019</v>
      </c>
      <c r="AB701" s="299">
        <v>3410</v>
      </c>
      <c r="AC701" s="300" t="s">
        <v>253</v>
      </c>
      <c r="AD701" s="299">
        <v>755</v>
      </c>
      <c r="AE701" s="299">
        <v>71</v>
      </c>
      <c r="AF701" s="294" t="s">
        <v>385</v>
      </c>
      <c r="AG701" s="294" t="s">
        <v>412</v>
      </c>
      <c r="AH701" s="294" t="s">
        <v>393</v>
      </c>
      <c r="AI701" s="301">
        <v>91000</v>
      </c>
    </row>
    <row r="702" spans="27:35" ht="16" customHeight="1">
      <c r="AA702" s="299">
        <v>2019</v>
      </c>
      <c r="AB702" s="299">
        <v>3410</v>
      </c>
      <c r="AC702" s="300" t="s">
        <v>253</v>
      </c>
      <c r="AD702" s="299">
        <v>755</v>
      </c>
      <c r="AE702" s="299">
        <v>72</v>
      </c>
      <c r="AF702" s="294" t="s">
        <v>385</v>
      </c>
      <c r="AG702" s="294" t="s">
        <v>412</v>
      </c>
      <c r="AH702" s="294" t="s">
        <v>394</v>
      </c>
      <c r="AI702" s="301">
        <v>23451000</v>
      </c>
    </row>
    <row r="703" spans="27:35" ht="16" customHeight="1">
      <c r="AA703" s="299">
        <v>2019</v>
      </c>
      <c r="AB703" s="299">
        <v>3410</v>
      </c>
      <c r="AC703" s="300" t="s">
        <v>253</v>
      </c>
      <c r="AD703" s="299">
        <v>755</v>
      </c>
      <c r="AE703" s="299">
        <v>73</v>
      </c>
      <c r="AF703" s="294" t="s">
        <v>385</v>
      </c>
      <c r="AG703" s="294" t="s">
        <v>412</v>
      </c>
      <c r="AH703" s="294" t="s">
        <v>395</v>
      </c>
      <c r="AI703" s="301">
        <v>0</v>
      </c>
    </row>
    <row r="704" spans="27:35" ht="16" customHeight="1">
      <c r="AA704" s="299">
        <v>2019</v>
      </c>
      <c r="AB704" s="299">
        <v>3410</v>
      </c>
      <c r="AC704" s="300" t="s">
        <v>253</v>
      </c>
      <c r="AD704" s="299">
        <v>755</v>
      </c>
      <c r="AE704" s="299">
        <v>74</v>
      </c>
      <c r="AF704" s="294" t="s">
        <v>385</v>
      </c>
      <c r="AG704" s="294" t="s">
        <v>412</v>
      </c>
      <c r="AH704" s="294" t="s">
        <v>396</v>
      </c>
      <c r="AI704" s="301">
        <v>0</v>
      </c>
    </row>
    <row r="705" spans="27:35" ht="16" customHeight="1">
      <c r="AA705" s="299">
        <v>2019</v>
      </c>
      <c r="AB705" s="299">
        <v>3410</v>
      </c>
      <c r="AC705" s="300" t="s">
        <v>253</v>
      </c>
      <c r="AD705" s="299">
        <v>755</v>
      </c>
      <c r="AE705" s="299">
        <v>75</v>
      </c>
      <c r="AF705" s="294" t="s">
        <v>385</v>
      </c>
      <c r="AG705" s="294" t="s">
        <v>412</v>
      </c>
      <c r="AH705" s="294" t="s">
        <v>397</v>
      </c>
      <c r="AI705" s="301">
        <v>1733000</v>
      </c>
    </row>
    <row r="706" spans="27:35" ht="16" customHeight="1">
      <c r="AA706" s="299">
        <v>2019</v>
      </c>
      <c r="AB706" s="299">
        <v>3410</v>
      </c>
      <c r="AC706" s="300" t="s">
        <v>253</v>
      </c>
      <c r="AD706" s="299">
        <v>755</v>
      </c>
      <c r="AE706" s="299">
        <v>76</v>
      </c>
      <c r="AF706" s="294" t="s">
        <v>385</v>
      </c>
      <c r="AG706" s="294" t="s">
        <v>412</v>
      </c>
      <c r="AH706" s="294" t="s">
        <v>398</v>
      </c>
      <c r="AI706" s="301">
        <v>3996000</v>
      </c>
    </row>
    <row r="707" spans="27:35" ht="16" customHeight="1">
      <c r="AA707" s="299">
        <v>2019</v>
      </c>
      <c r="AB707" s="299">
        <v>3410</v>
      </c>
      <c r="AC707" s="300" t="s">
        <v>253</v>
      </c>
      <c r="AD707" s="299">
        <v>755</v>
      </c>
      <c r="AE707" s="299">
        <v>77</v>
      </c>
      <c r="AF707" s="294" t="s">
        <v>385</v>
      </c>
      <c r="AG707" s="294" t="s">
        <v>412</v>
      </c>
      <c r="AH707" s="294" t="s">
        <v>399</v>
      </c>
      <c r="AI707" s="301">
        <v>0</v>
      </c>
    </row>
    <row r="708" spans="27:35" ht="16" customHeight="1">
      <c r="AA708" s="299">
        <v>2019</v>
      </c>
      <c r="AB708" s="299">
        <v>3410</v>
      </c>
      <c r="AC708" s="300" t="s">
        <v>253</v>
      </c>
      <c r="AD708" s="299">
        <v>755</v>
      </c>
      <c r="AE708" s="299">
        <v>78</v>
      </c>
      <c r="AF708" s="294" t="s">
        <v>385</v>
      </c>
      <c r="AG708" s="294" t="s">
        <v>412</v>
      </c>
      <c r="AH708" s="294" t="s">
        <v>400</v>
      </c>
      <c r="AI708" s="301">
        <v>4227000</v>
      </c>
    </row>
    <row r="709" spans="27:35" ht="16" customHeight="1">
      <c r="AA709" s="299">
        <v>2019</v>
      </c>
      <c r="AB709" s="299">
        <v>3410</v>
      </c>
      <c r="AC709" s="300" t="s">
        <v>253</v>
      </c>
      <c r="AD709" s="299">
        <v>755</v>
      </c>
      <c r="AE709" s="299">
        <v>79</v>
      </c>
      <c r="AF709" s="294" t="s">
        <v>385</v>
      </c>
      <c r="AG709" s="294" t="s">
        <v>412</v>
      </c>
      <c r="AH709" s="294" t="s">
        <v>408</v>
      </c>
      <c r="AI709" s="301">
        <v>8740000</v>
      </c>
    </row>
    <row r="710" spans="27:35" ht="16" customHeight="1">
      <c r="AA710" s="299">
        <v>2019</v>
      </c>
      <c r="AB710" s="299">
        <v>3410</v>
      </c>
      <c r="AC710" s="300" t="s">
        <v>253</v>
      </c>
      <c r="AD710" s="299">
        <v>755</v>
      </c>
      <c r="AE710" s="299">
        <v>80</v>
      </c>
      <c r="AF710" s="294" t="s">
        <v>385</v>
      </c>
      <c r="AG710" s="294" t="s">
        <v>412</v>
      </c>
      <c r="AH710" s="294" t="s">
        <v>409</v>
      </c>
      <c r="AI710" s="301">
        <v>72803000</v>
      </c>
    </row>
    <row r="711" spans="27:35" ht="16" customHeight="1">
      <c r="AA711" s="299">
        <v>2019</v>
      </c>
      <c r="AB711" s="299">
        <v>3410</v>
      </c>
      <c r="AC711" s="300" t="s">
        <v>253</v>
      </c>
      <c r="AD711" s="299">
        <v>755</v>
      </c>
      <c r="AE711" s="299">
        <v>81</v>
      </c>
      <c r="AF711" s="294" t="s">
        <v>385</v>
      </c>
      <c r="AG711" s="294" t="s">
        <v>413</v>
      </c>
      <c r="AH711" s="294" t="s">
        <v>402</v>
      </c>
      <c r="AI711" s="301">
        <v>84000</v>
      </c>
    </row>
    <row r="712" spans="27:35" ht="16" customHeight="1">
      <c r="AA712" s="299">
        <v>2019</v>
      </c>
      <c r="AB712" s="299">
        <v>3410</v>
      </c>
      <c r="AC712" s="300" t="s">
        <v>253</v>
      </c>
      <c r="AD712" s="299">
        <v>755</v>
      </c>
      <c r="AE712" s="299">
        <v>82</v>
      </c>
      <c r="AF712" s="294" t="s">
        <v>385</v>
      </c>
      <c r="AG712" s="294" t="s">
        <v>413</v>
      </c>
      <c r="AH712" s="294" t="s">
        <v>414</v>
      </c>
      <c r="AI712" s="301">
        <v>200379000</v>
      </c>
    </row>
    <row r="713" spans="27:35" ht="16" customHeight="1">
      <c r="AA713" s="299">
        <v>2019</v>
      </c>
      <c r="AB713" s="299">
        <v>3410</v>
      </c>
      <c r="AC713" s="300" t="s">
        <v>253</v>
      </c>
      <c r="AD713" s="299">
        <v>755</v>
      </c>
      <c r="AE713" s="299">
        <v>83</v>
      </c>
      <c r="AF713" s="294" t="s">
        <v>377</v>
      </c>
      <c r="AG713" s="294" t="s">
        <v>378</v>
      </c>
      <c r="AH713" s="294" t="s">
        <v>415</v>
      </c>
      <c r="AI713" s="301">
        <v>2903000</v>
      </c>
    </row>
    <row r="714" spans="27:35" ht="16" customHeight="1">
      <c r="AA714" s="299">
        <v>2019</v>
      </c>
      <c r="AB714" s="299">
        <v>3410</v>
      </c>
      <c r="AC714" s="300" t="s">
        <v>253</v>
      </c>
      <c r="AD714" s="299">
        <v>755</v>
      </c>
      <c r="AE714" s="299">
        <v>84</v>
      </c>
      <c r="AF714" s="294" t="s">
        <v>377</v>
      </c>
      <c r="AG714" s="294" t="s">
        <v>378</v>
      </c>
      <c r="AH714" s="294" t="s">
        <v>416</v>
      </c>
      <c r="AI714" s="301">
        <v>0</v>
      </c>
    </row>
    <row r="715" spans="27:35" ht="16" customHeight="1">
      <c r="AA715" s="299">
        <v>2019</v>
      </c>
      <c r="AB715" s="299">
        <v>3410</v>
      </c>
      <c r="AC715" s="300" t="s">
        <v>253</v>
      </c>
      <c r="AD715" s="299">
        <v>755</v>
      </c>
      <c r="AE715" s="299">
        <v>85</v>
      </c>
      <c r="AF715" s="294" t="s">
        <v>339</v>
      </c>
      <c r="AG715" s="294" t="s">
        <v>340</v>
      </c>
      <c r="AH715" s="294" t="s">
        <v>322</v>
      </c>
      <c r="AI715" s="301">
        <v>308306000</v>
      </c>
    </row>
    <row r="716" spans="27:35" ht="16" customHeight="1">
      <c r="AA716" s="299">
        <v>2019</v>
      </c>
      <c r="AB716" s="299">
        <v>3410</v>
      </c>
      <c r="AC716" s="300" t="s">
        <v>253</v>
      </c>
      <c r="AD716" s="299">
        <v>755</v>
      </c>
      <c r="AE716" s="299">
        <v>86</v>
      </c>
      <c r="AF716" s="294" t="s">
        <v>339</v>
      </c>
      <c r="AG716" s="294" t="s">
        <v>340</v>
      </c>
      <c r="AH716" s="294" t="s">
        <v>323</v>
      </c>
      <c r="AI716" s="301">
        <v>27249000</v>
      </c>
    </row>
    <row r="717" spans="27:35" ht="16" customHeight="1">
      <c r="AA717" s="299">
        <v>2019</v>
      </c>
      <c r="AB717" s="299">
        <v>3410</v>
      </c>
      <c r="AC717" s="300" t="s">
        <v>253</v>
      </c>
      <c r="AD717" s="299">
        <v>755</v>
      </c>
      <c r="AE717" s="299">
        <v>87</v>
      </c>
      <c r="AF717" s="294" t="s">
        <v>339</v>
      </c>
      <c r="AG717" s="294" t="s">
        <v>341</v>
      </c>
      <c r="AH717" s="294" t="s">
        <v>325</v>
      </c>
      <c r="AI717" s="301">
        <v>381997000</v>
      </c>
    </row>
    <row r="718" spans="27:35" ht="16" customHeight="1">
      <c r="AA718" s="299">
        <v>2019</v>
      </c>
      <c r="AB718" s="299">
        <v>3410</v>
      </c>
      <c r="AC718" s="300" t="s">
        <v>253</v>
      </c>
      <c r="AD718" s="299">
        <v>755</v>
      </c>
      <c r="AE718" s="299">
        <v>88</v>
      </c>
      <c r="AF718" s="294" t="s">
        <v>339</v>
      </c>
      <c r="AG718" s="294" t="s">
        <v>341</v>
      </c>
      <c r="AH718" s="294" t="s">
        <v>342</v>
      </c>
      <c r="AI718" s="301">
        <v>717552000</v>
      </c>
    </row>
    <row r="719" spans="27:35" ht="16" customHeight="1">
      <c r="AA719" s="299">
        <v>2019</v>
      </c>
      <c r="AB719" s="299">
        <v>3410</v>
      </c>
      <c r="AC719" s="300" t="s">
        <v>253</v>
      </c>
      <c r="AD719" s="299">
        <v>755</v>
      </c>
      <c r="AE719" s="299">
        <v>89</v>
      </c>
      <c r="AF719" s="294" t="s">
        <v>377</v>
      </c>
      <c r="AG719" s="294" t="s">
        <v>378</v>
      </c>
      <c r="AH719" s="294" t="s">
        <v>379</v>
      </c>
      <c r="AI719" s="301">
        <v>2000</v>
      </c>
    </row>
    <row r="720" spans="27:35" ht="16" customHeight="1">
      <c r="AA720" s="299">
        <v>2019</v>
      </c>
      <c r="AB720" s="299">
        <v>3410</v>
      </c>
      <c r="AC720" s="300" t="s">
        <v>253</v>
      </c>
      <c r="AD720" s="299">
        <v>755</v>
      </c>
      <c r="AE720" s="299">
        <v>98</v>
      </c>
      <c r="AF720" s="294" t="s">
        <v>343</v>
      </c>
      <c r="AG720" s="294" t="s">
        <v>380</v>
      </c>
      <c r="AH720" s="294" t="s">
        <v>381</v>
      </c>
      <c r="AI720" s="301">
        <v>4928962000</v>
      </c>
    </row>
    <row r="721" spans="27:35" ht="16" customHeight="1">
      <c r="AA721" s="299">
        <v>2019</v>
      </c>
      <c r="AB721" s="299">
        <v>3410</v>
      </c>
      <c r="AC721" s="300" t="s">
        <v>253</v>
      </c>
      <c r="AD721" s="299">
        <v>755</v>
      </c>
      <c r="AE721" s="299">
        <v>99</v>
      </c>
      <c r="AF721" s="294" t="s">
        <v>343</v>
      </c>
      <c r="AG721" s="294" t="s">
        <v>344</v>
      </c>
      <c r="AH721" s="294" t="s">
        <v>322</v>
      </c>
      <c r="AI721" s="301">
        <v>28222412000</v>
      </c>
    </row>
    <row r="722" spans="27:35" ht="16" customHeight="1">
      <c r="AA722" s="299">
        <v>2019</v>
      </c>
      <c r="AB722" s="299">
        <v>3410</v>
      </c>
      <c r="AC722" s="300" t="s">
        <v>253</v>
      </c>
      <c r="AD722" s="299">
        <v>755</v>
      </c>
      <c r="AE722" s="299">
        <v>100</v>
      </c>
      <c r="AF722" s="294" t="s">
        <v>343</v>
      </c>
      <c r="AG722" s="294" t="s">
        <v>344</v>
      </c>
      <c r="AH722" s="294" t="s">
        <v>323</v>
      </c>
      <c r="AI722" s="301">
        <v>2170804000</v>
      </c>
    </row>
    <row r="723" spans="27:35" ht="16" customHeight="1">
      <c r="AA723" s="299">
        <v>2019</v>
      </c>
      <c r="AB723" s="299">
        <v>3410</v>
      </c>
      <c r="AC723" s="300" t="s">
        <v>253</v>
      </c>
      <c r="AD723" s="299">
        <v>755</v>
      </c>
      <c r="AE723" s="299">
        <v>101</v>
      </c>
      <c r="AF723" s="294" t="s">
        <v>343</v>
      </c>
      <c r="AG723" s="294" t="s">
        <v>344</v>
      </c>
      <c r="AH723" s="294" t="s">
        <v>325</v>
      </c>
      <c r="AI723" s="301">
        <v>31344711000</v>
      </c>
    </row>
    <row r="724" spans="27:35" ht="16" customHeight="1">
      <c r="AA724" s="299">
        <v>2019</v>
      </c>
      <c r="AB724" s="299">
        <v>3410</v>
      </c>
      <c r="AC724" s="300" t="s">
        <v>253</v>
      </c>
      <c r="AD724" s="299">
        <v>755</v>
      </c>
      <c r="AE724" s="299">
        <v>102</v>
      </c>
      <c r="AF724" s="294" t="s">
        <v>343</v>
      </c>
      <c r="AG724" s="294" t="s">
        <v>345</v>
      </c>
      <c r="AH724" s="294" t="s">
        <v>346</v>
      </c>
      <c r="AI724" s="301">
        <v>0</v>
      </c>
    </row>
    <row r="725" spans="27:35" ht="16" customHeight="1">
      <c r="AA725" s="299">
        <v>2019</v>
      </c>
      <c r="AB725" s="299">
        <v>3410</v>
      </c>
      <c r="AC725" s="300" t="s">
        <v>253</v>
      </c>
      <c r="AD725" s="299">
        <v>755</v>
      </c>
      <c r="AE725" s="299">
        <v>103</v>
      </c>
      <c r="AF725" s="294" t="s">
        <v>343</v>
      </c>
      <c r="AG725" s="294" t="s">
        <v>347</v>
      </c>
      <c r="AH725" s="294" t="s">
        <v>348</v>
      </c>
      <c r="AI725" s="301">
        <v>32507000</v>
      </c>
    </row>
    <row r="726" spans="27:35" ht="16" customHeight="1">
      <c r="AA726" s="299">
        <v>2019</v>
      </c>
      <c r="AB726" s="299">
        <v>3410</v>
      </c>
      <c r="AC726" s="300" t="s">
        <v>253</v>
      </c>
      <c r="AD726" s="299">
        <v>755</v>
      </c>
      <c r="AE726" s="299">
        <v>104</v>
      </c>
      <c r="AF726" s="294" t="s">
        <v>343</v>
      </c>
      <c r="AG726" s="294" t="s">
        <v>349</v>
      </c>
      <c r="AH726" s="294" t="s">
        <v>350</v>
      </c>
      <c r="AI726" s="301">
        <v>66699396000</v>
      </c>
    </row>
    <row r="727" spans="27:35" ht="16" customHeight="1">
      <c r="AA727" s="299">
        <v>2019</v>
      </c>
      <c r="AB727" s="299">
        <v>3410</v>
      </c>
      <c r="AC727" s="300" t="s">
        <v>253</v>
      </c>
      <c r="AD727" s="299">
        <v>755</v>
      </c>
      <c r="AE727" s="299">
        <v>105</v>
      </c>
      <c r="AF727" s="294" t="s">
        <v>351</v>
      </c>
      <c r="AG727" s="294" t="s">
        <v>352</v>
      </c>
      <c r="AH727" s="294" t="s">
        <v>353</v>
      </c>
      <c r="AI727" s="301">
        <v>76446000</v>
      </c>
    </row>
    <row r="728" spans="27:35" ht="16" customHeight="1">
      <c r="AA728" s="299">
        <v>2019</v>
      </c>
      <c r="AB728" s="299">
        <v>3410</v>
      </c>
      <c r="AC728" s="300" t="s">
        <v>253</v>
      </c>
      <c r="AD728" s="299">
        <v>755</v>
      </c>
      <c r="AE728" s="299">
        <v>106</v>
      </c>
      <c r="AF728" s="294" t="s">
        <v>351</v>
      </c>
      <c r="AG728" s="294" t="s">
        <v>354</v>
      </c>
      <c r="AH728" s="294" t="s">
        <v>355</v>
      </c>
      <c r="AI728" s="301">
        <v>805000</v>
      </c>
    </row>
    <row r="729" spans="27:35" ht="16" customHeight="1">
      <c r="AA729" s="299">
        <v>2019</v>
      </c>
      <c r="AB729" s="299">
        <v>3410</v>
      </c>
      <c r="AC729" s="300" t="s">
        <v>253</v>
      </c>
      <c r="AD729" s="299">
        <v>755</v>
      </c>
      <c r="AE729" s="299">
        <v>107</v>
      </c>
      <c r="AF729" s="294" t="s">
        <v>351</v>
      </c>
      <c r="AG729" s="294" t="s">
        <v>356</v>
      </c>
      <c r="AH729" s="294" t="s">
        <v>357</v>
      </c>
      <c r="AI729" s="301">
        <v>77251000</v>
      </c>
    </row>
    <row r="730" spans="27:35" ht="16" customHeight="1">
      <c r="AA730" s="299">
        <v>2019</v>
      </c>
      <c r="AB730" s="299">
        <v>3410</v>
      </c>
      <c r="AC730" s="300" t="s">
        <v>253</v>
      </c>
      <c r="AD730" s="299">
        <v>755</v>
      </c>
      <c r="AE730" s="299">
        <v>108</v>
      </c>
      <c r="AF730" s="294" t="s">
        <v>358</v>
      </c>
      <c r="AG730" s="294" t="s">
        <v>359</v>
      </c>
      <c r="AH730" s="294" t="s">
        <v>360</v>
      </c>
      <c r="AI730" s="301">
        <v>32625112000</v>
      </c>
    </row>
    <row r="731" spans="27:35" ht="16" customHeight="1">
      <c r="AA731" s="299">
        <v>2019</v>
      </c>
      <c r="AB731" s="299">
        <v>3410</v>
      </c>
      <c r="AC731" s="300" t="s">
        <v>253</v>
      </c>
      <c r="AD731" s="299">
        <v>755</v>
      </c>
      <c r="AE731" s="299">
        <v>109</v>
      </c>
      <c r="AF731" s="294" t="s">
        <v>358</v>
      </c>
      <c r="AG731" s="294" t="s">
        <v>359</v>
      </c>
      <c r="AH731" s="294" t="s">
        <v>361</v>
      </c>
      <c r="AI731" s="301">
        <v>0</v>
      </c>
    </row>
    <row r="732" spans="27:35" ht="16" customHeight="1">
      <c r="AA732" s="299">
        <v>2019</v>
      </c>
      <c r="AB732" s="299">
        <v>3410</v>
      </c>
      <c r="AC732" s="300" t="s">
        <v>253</v>
      </c>
      <c r="AD732" s="299">
        <v>755</v>
      </c>
      <c r="AE732" s="299">
        <v>110</v>
      </c>
      <c r="AF732" s="294" t="s">
        <v>358</v>
      </c>
      <c r="AG732" s="294" t="s">
        <v>359</v>
      </c>
      <c r="AH732" s="294" t="s">
        <v>362</v>
      </c>
      <c r="AI732" s="301">
        <v>32625112000</v>
      </c>
    </row>
    <row r="733" spans="27:35" ht="16" customHeight="1">
      <c r="AA733" s="299">
        <v>2019</v>
      </c>
      <c r="AB733" s="299">
        <v>3410</v>
      </c>
      <c r="AC733" s="300" t="s">
        <v>253</v>
      </c>
      <c r="AD733" s="299">
        <v>755</v>
      </c>
      <c r="AE733" s="299">
        <v>111</v>
      </c>
      <c r="AF733" s="294" t="s">
        <v>358</v>
      </c>
      <c r="AG733" s="294" t="s">
        <v>363</v>
      </c>
      <c r="AH733" s="294" t="s">
        <v>364</v>
      </c>
      <c r="AI733" s="301">
        <v>2960653000</v>
      </c>
    </row>
    <row r="734" spans="27:35" ht="16" customHeight="1">
      <c r="AA734" s="299">
        <v>2019</v>
      </c>
      <c r="AB734" s="299">
        <v>3410</v>
      </c>
      <c r="AC734" s="300" t="s">
        <v>253</v>
      </c>
      <c r="AD734" s="299">
        <v>755</v>
      </c>
      <c r="AE734" s="299">
        <v>112</v>
      </c>
      <c r="AF734" s="294" t="s">
        <v>358</v>
      </c>
      <c r="AG734" s="294" t="s">
        <v>363</v>
      </c>
      <c r="AH734" s="294" t="s">
        <v>365</v>
      </c>
      <c r="AI734" s="301">
        <v>0</v>
      </c>
    </row>
    <row r="735" spans="27:35" ht="16" customHeight="1">
      <c r="AA735" s="299">
        <v>2019</v>
      </c>
      <c r="AB735" s="299">
        <v>3410</v>
      </c>
      <c r="AC735" s="300" t="s">
        <v>253</v>
      </c>
      <c r="AD735" s="299">
        <v>755</v>
      </c>
      <c r="AE735" s="299">
        <v>113</v>
      </c>
      <c r="AF735" s="294" t="s">
        <v>358</v>
      </c>
      <c r="AG735" s="294" t="s">
        <v>363</v>
      </c>
      <c r="AH735" s="294" t="s">
        <v>366</v>
      </c>
      <c r="AI735" s="301">
        <v>2960653000</v>
      </c>
    </row>
    <row r="736" spans="27:35" ht="16" customHeight="1">
      <c r="AA736" s="299">
        <v>2019</v>
      </c>
      <c r="AB736" s="299">
        <v>3410</v>
      </c>
      <c r="AC736" s="300" t="s">
        <v>253</v>
      </c>
      <c r="AD736" s="299">
        <v>755</v>
      </c>
      <c r="AE736" s="299">
        <v>114</v>
      </c>
      <c r="AF736" s="294" t="s">
        <v>358</v>
      </c>
      <c r="AG736" s="294" t="s">
        <v>367</v>
      </c>
      <c r="AH736" s="294" t="s">
        <v>368</v>
      </c>
      <c r="AI736" s="301">
        <v>35585765000</v>
      </c>
    </row>
    <row r="737" spans="27:35" ht="16" customHeight="1">
      <c r="AA737" s="299">
        <v>2019</v>
      </c>
      <c r="AB737" s="299">
        <v>3410</v>
      </c>
      <c r="AC737" s="300" t="s">
        <v>253</v>
      </c>
      <c r="AD737" s="299">
        <v>755</v>
      </c>
      <c r="AE737" s="299">
        <v>115</v>
      </c>
      <c r="AF737" s="294" t="s">
        <v>369</v>
      </c>
      <c r="AG737" s="294" t="s">
        <v>370</v>
      </c>
      <c r="AH737" s="294" t="s">
        <v>371</v>
      </c>
      <c r="AI737" s="301">
        <v>599290</v>
      </c>
    </row>
    <row r="738" spans="27:35" ht="16" customHeight="1">
      <c r="AA738" s="299">
        <v>2019</v>
      </c>
      <c r="AB738" s="299">
        <v>3410</v>
      </c>
      <c r="AC738" s="300" t="s">
        <v>253</v>
      </c>
      <c r="AD738" s="299">
        <v>755</v>
      </c>
      <c r="AE738" s="299">
        <v>116</v>
      </c>
      <c r="AF738" s="294" t="s">
        <v>369</v>
      </c>
      <c r="AG738" s="294" t="s">
        <v>372</v>
      </c>
      <c r="AH738" s="294" t="s">
        <v>373</v>
      </c>
      <c r="AI738" s="301">
        <v>72435</v>
      </c>
    </row>
    <row r="739" spans="27:35" ht="16" customHeight="1">
      <c r="AA739" s="299">
        <v>2019</v>
      </c>
      <c r="AB739" s="299">
        <v>3410</v>
      </c>
      <c r="AC739" s="300" t="s">
        <v>253</v>
      </c>
      <c r="AD739" s="299">
        <v>755</v>
      </c>
      <c r="AE739" s="299">
        <v>117</v>
      </c>
      <c r="AF739" s="294" t="s">
        <v>374</v>
      </c>
      <c r="AG739" s="294" t="s">
        <v>375</v>
      </c>
      <c r="AH739" s="294" t="s">
        <v>376</v>
      </c>
      <c r="AI739" s="301">
        <v>327658</v>
      </c>
    </row>
    <row r="740" spans="27:35" ht="16" customHeight="1">
      <c r="AA740" s="299">
        <v>2019</v>
      </c>
      <c r="AB740" s="299">
        <v>3410</v>
      </c>
      <c r="AC740" s="300" t="s">
        <v>253</v>
      </c>
      <c r="AD740" s="299">
        <v>755</v>
      </c>
      <c r="AE740" s="299">
        <v>118</v>
      </c>
      <c r="AF740" s="294" t="s">
        <v>417</v>
      </c>
      <c r="AG740" s="294" t="s">
        <v>418</v>
      </c>
      <c r="AH740" s="294" t="s">
        <v>419</v>
      </c>
      <c r="AI740" s="301">
        <v>91647</v>
      </c>
    </row>
    <row r="741" spans="27:35" ht="16" customHeight="1">
      <c r="AA741" s="299">
        <v>2019</v>
      </c>
      <c r="AB741" s="299">
        <v>3410</v>
      </c>
      <c r="AC741" s="300" t="s">
        <v>253</v>
      </c>
      <c r="AD741" s="299">
        <v>755</v>
      </c>
      <c r="AE741" s="299">
        <v>119</v>
      </c>
      <c r="AF741" s="294" t="s">
        <v>417</v>
      </c>
      <c r="AG741" s="294" t="s">
        <v>418</v>
      </c>
      <c r="AH741" s="294" t="s">
        <v>420</v>
      </c>
      <c r="AI741" s="301">
        <v>0</v>
      </c>
    </row>
    <row r="742" spans="27:35" ht="16" customHeight="1">
      <c r="AA742" s="299">
        <v>2019</v>
      </c>
      <c r="AB742" s="299">
        <v>3410</v>
      </c>
      <c r="AC742" s="300" t="s">
        <v>253</v>
      </c>
      <c r="AD742" s="299">
        <v>755</v>
      </c>
      <c r="AE742" s="299">
        <v>120</v>
      </c>
      <c r="AF742" s="294" t="s">
        <v>421</v>
      </c>
      <c r="AG742" s="294" t="s">
        <v>422</v>
      </c>
      <c r="AH742" s="294" t="s">
        <v>322</v>
      </c>
      <c r="AI742" s="301">
        <v>305766</v>
      </c>
    </row>
    <row r="743" spans="27:35" ht="16" customHeight="1">
      <c r="AA743" s="299">
        <v>2019</v>
      </c>
      <c r="AB743" s="299">
        <v>3410</v>
      </c>
      <c r="AC743" s="300" t="s">
        <v>253</v>
      </c>
      <c r="AD743" s="299">
        <v>755</v>
      </c>
      <c r="AE743" s="299">
        <v>121</v>
      </c>
      <c r="AF743" s="294" t="s">
        <v>421</v>
      </c>
      <c r="AG743" s="294" t="s">
        <v>422</v>
      </c>
      <c r="AH743" s="294" t="s">
        <v>323</v>
      </c>
      <c r="AI743" s="301">
        <v>487643</v>
      </c>
    </row>
    <row r="744" spans="27:35" ht="16" customHeight="1">
      <c r="AA744" s="299">
        <v>2019</v>
      </c>
      <c r="AB744" s="299">
        <v>3410</v>
      </c>
      <c r="AC744" s="300" t="s">
        <v>253</v>
      </c>
      <c r="AD744" s="299">
        <v>755</v>
      </c>
      <c r="AE744" s="299">
        <v>122</v>
      </c>
      <c r="AF744" s="294" t="s">
        <v>421</v>
      </c>
      <c r="AG744" s="294" t="s">
        <v>422</v>
      </c>
      <c r="AH744" s="294" t="s">
        <v>325</v>
      </c>
      <c r="AI744" s="301">
        <v>671652</v>
      </c>
    </row>
    <row r="745" spans="27:35" ht="16" customHeight="1">
      <c r="AA745" s="299">
        <v>2019</v>
      </c>
      <c r="AB745" s="299">
        <v>3410</v>
      </c>
      <c r="AC745" s="300" t="s">
        <v>253</v>
      </c>
      <c r="AD745" s="299">
        <v>755</v>
      </c>
      <c r="AE745" s="299">
        <v>123</v>
      </c>
      <c r="AF745" s="294" t="s">
        <v>423</v>
      </c>
      <c r="AG745" s="294" t="s">
        <v>424</v>
      </c>
      <c r="AH745" s="294" t="s">
        <v>425</v>
      </c>
      <c r="AI745" s="301">
        <v>507812</v>
      </c>
    </row>
    <row r="746" spans="27:35" ht="16" customHeight="1">
      <c r="AA746" s="299">
        <v>2019</v>
      </c>
      <c r="AB746" s="299">
        <v>3410</v>
      </c>
      <c r="AC746" s="300" t="s">
        <v>253</v>
      </c>
      <c r="AD746" s="299">
        <v>755</v>
      </c>
      <c r="AE746" s="299">
        <v>124</v>
      </c>
      <c r="AF746" s="294" t="s">
        <v>426</v>
      </c>
      <c r="AG746" s="294" t="s">
        <v>427</v>
      </c>
      <c r="AH746" s="294" t="s">
        <v>428</v>
      </c>
      <c r="AI746" s="301">
        <v>78779</v>
      </c>
    </row>
    <row r="747" spans="27:35" ht="16" customHeight="1">
      <c r="AA747" s="299">
        <v>2019</v>
      </c>
      <c r="AB747" s="299">
        <v>3410</v>
      </c>
      <c r="AC747" s="300" t="s">
        <v>253</v>
      </c>
      <c r="AD747" s="299">
        <v>755</v>
      </c>
      <c r="AE747" s="299">
        <v>125</v>
      </c>
      <c r="AF747" s="294" t="s">
        <v>429</v>
      </c>
      <c r="AG747" s="294" t="s">
        <v>430</v>
      </c>
      <c r="AH747" s="294" t="s">
        <v>431</v>
      </c>
      <c r="AI747" s="301">
        <v>0</v>
      </c>
    </row>
    <row r="748" spans="27:35" ht="16" customHeight="1">
      <c r="AA748" s="299">
        <v>2019</v>
      </c>
      <c r="AB748" s="299">
        <v>3410</v>
      </c>
      <c r="AC748" s="300" t="s">
        <v>253</v>
      </c>
      <c r="AD748" s="299">
        <v>755</v>
      </c>
      <c r="AE748" s="299">
        <v>126</v>
      </c>
      <c r="AF748" s="294" t="s">
        <v>432</v>
      </c>
      <c r="AG748" s="294" t="s">
        <v>433</v>
      </c>
      <c r="AH748" s="294" t="s">
        <v>434</v>
      </c>
      <c r="AI748" s="301">
        <v>0</v>
      </c>
    </row>
    <row r="749" spans="27:35" ht="16" customHeight="1">
      <c r="AA749" s="299">
        <v>2019</v>
      </c>
      <c r="AB749" s="299">
        <v>3410</v>
      </c>
      <c r="AC749" s="300" t="s">
        <v>253</v>
      </c>
      <c r="AD749" s="299">
        <v>755</v>
      </c>
      <c r="AE749" s="299">
        <v>127</v>
      </c>
      <c r="AF749" s="294" t="s">
        <v>432</v>
      </c>
      <c r="AG749" s="294" t="s">
        <v>433</v>
      </c>
      <c r="AH749" s="294" t="s">
        <v>435</v>
      </c>
      <c r="AI749" s="301">
        <v>0</v>
      </c>
    </row>
    <row r="750" spans="27:35" ht="16" customHeight="1">
      <c r="AA750" s="299">
        <v>2019</v>
      </c>
      <c r="AB750" s="299">
        <v>3410</v>
      </c>
      <c r="AC750" s="300" t="s">
        <v>253</v>
      </c>
      <c r="AD750" s="299">
        <v>755</v>
      </c>
      <c r="AE750" s="299">
        <v>128</v>
      </c>
      <c r="AF750" s="294" t="s">
        <v>432</v>
      </c>
      <c r="AG750" s="294" t="s">
        <v>433</v>
      </c>
      <c r="AH750" s="294" t="s">
        <v>158</v>
      </c>
      <c r="AI750" s="301">
        <v>0</v>
      </c>
    </row>
    <row r="751" spans="27:35" ht="16" customHeight="1">
      <c r="AA751" s="299">
        <v>2019</v>
      </c>
      <c r="AB751" s="299">
        <v>3410</v>
      </c>
      <c r="AC751" s="300" t="s">
        <v>253</v>
      </c>
      <c r="AD751" s="299">
        <v>755</v>
      </c>
      <c r="AE751" s="299">
        <v>129</v>
      </c>
      <c r="AF751" s="294" t="s">
        <v>432</v>
      </c>
      <c r="AG751" s="294" t="s">
        <v>433</v>
      </c>
      <c r="AH751" s="294" t="s">
        <v>436</v>
      </c>
      <c r="AI751" s="301">
        <v>0</v>
      </c>
    </row>
    <row r="752" spans="27:35" ht="16" customHeight="1">
      <c r="AA752" s="299">
        <v>2019</v>
      </c>
      <c r="AB752" s="299">
        <v>3410</v>
      </c>
      <c r="AC752" s="300" t="s">
        <v>253</v>
      </c>
      <c r="AD752" s="299">
        <v>755</v>
      </c>
      <c r="AE752" s="299">
        <v>130</v>
      </c>
      <c r="AF752" s="294" t="s">
        <v>437</v>
      </c>
      <c r="AG752" s="294" t="s">
        <v>438</v>
      </c>
      <c r="AH752" s="294" t="s">
        <v>439</v>
      </c>
      <c r="AI752" s="301">
        <v>3550</v>
      </c>
    </row>
    <row r="753" spans="27:35" ht="16" customHeight="1">
      <c r="AA753" s="299">
        <v>2019</v>
      </c>
      <c r="AB753" s="299">
        <v>3410</v>
      </c>
      <c r="AC753" s="300" t="s">
        <v>253</v>
      </c>
      <c r="AD753" s="299">
        <v>755</v>
      </c>
      <c r="AE753" s="299">
        <v>131</v>
      </c>
      <c r="AF753" s="294" t="s">
        <v>437</v>
      </c>
      <c r="AG753" s="294" t="s">
        <v>438</v>
      </c>
      <c r="AH753" s="294" t="s">
        <v>440</v>
      </c>
      <c r="AI753" s="301">
        <v>0</v>
      </c>
    </row>
    <row r="754" spans="27:35" ht="16" customHeight="1">
      <c r="AA754" s="299">
        <v>2019</v>
      </c>
      <c r="AB754" s="299">
        <v>3410</v>
      </c>
      <c r="AC754" s="300" t="s">
        <v>253</v>
      </c>
      <c r="AD754" s="299">
        <v>755</v>
      </c>
      <c r="AE754" s="299">
        <v>132</v>
      </c>
      <c r="AF754" s="294" t="s">
        <v>437</v>
      </c>
      <c r="AG754" s="294" t="s">
        <v>441</v>
      </c>
      <c r="AH754" s="294" t="s">
        <v>442</v>
      </c>
      <c r="AI754" s="301">
        <v>0</v>
      </c>
    </row>
    <row r="755" spans="27:35" ht="16" customHeight="1">
      <c r="AA755" s="299">
        <v>2019</v>
      </c>
      <c r="AB755" s="299">
        <v>3410</v>
      </c>
      <c r="AC755" s="300" t="s">
        <v>253</v>
      </c>
      <c r="AD755" s="299">
        <v>755</v>
      </c>
      <c r="AE755" s="299">
        <v>133</v>
      </c>
      <c r="AF755" s="294" t="s">
        <v>437</v>
      </c>
      <c r="AG755" s="294" t="s">
        <v>443</v>
      </c>
      <c r="AH755" s="294" t="s">
        <v>444</v>
      </c>
      <c r="AI755" s="301">
        <v>3550</v>
      </c>
    </row>
    <row r="756" spans="27:35" ht="16" customHeight="1">
      <c r="AA756" s="299">
        <v>2019</v>
      </c>
      <c r="AB756" s="299">
        <v>3410</v>
      </c>
      <c r="AC756" s="300" t="s">
        <v>253</v>
      </c>
      <c r="AD756" s="299">
        <v>755</v>
      </c>
      <c r="AE756" s="299">
        <v>134</v>
      </c>
      <c r="AF756" s="294" t="s">
        <v>445</v>
      </c>
      <c r="AG756" s="294" t="s">
        <v>446</v>
      </c>
      <c r="AH756" s="294" t="s">
        <v>447</v>
      </c>
      <c r="AI756" s="301">
        <v>395</v>
      </c>
    </row>
    <row r="757" spans="27:35" ht="16" customHeight="1">
      <c r="AA757" s="299">
        <v>2019</v>
      </c>
      <c r="AB757" s="299">
        <v>3680</v>
      </c>
      <c r="AC757" s="300" t="s">
        <v>252</v>
      </c>
      <c r="AD757" s="299">
        <v>755</v>
      </c>
      <c r="AE757" s="299">
        <v>1</v>
      </c>
      <c r="AF757" s="294" t="s">
        <v>382</v>
      </c>
      <c r="AG757" s="294" t="s">
        <v>383</v>
      </c>
      <c r="AH757" s="294" t="s">
        <v>384</v>
      </c>
      <c r="AI757" s="301">
        <v>4798</v>
      </c>
    </row>
    <row r="758" spans="27:35" ht="16" customHeight="1">
      <c r="AA758" s="299">
        <v>2019</v>
      </c>
      <c r="AB758" s="299">
        <v>3680</v>
      </c>
      <c r="AC758" s="300" t="s">
        <v>252</v>
      </c>
      <c r="AD758" s="299">
        <v>755</v>
      </c>
      <c r="AE758" s="299">
        <v>2</v>
      </c>
      <c r="AF758" s="294" t="s">
        <v>320</v>
      </c>
      <c r="AG758" s="294" t="s">
        <v>321</v>
      </c>
      <c r="AH758" s="294" t="s">
        <v>322</v>
      </c>
      <c r="AI758" s="301">
        <v>2699968</v>
      </c>
    </row>
    <row r="759" spans="27:35" ht="16" customHeight="1">
      <c r="AA759" s="299">
        <v>2019</v>
      </c>
      <c r="AB759" s="299">
        <v>3680</v>
      </c>
      <c r="AC759" s="300" t="s">
        <v>252</v>
      </c>
      <c r="AD759" s="299">
        <v>755</v>
      </c>
      <c r="AE759" s="299">
        <v>3</v>
      </c>
      <c r="AF759" s="294" t="s">
        <v>320</v>
      </c>
      <c r="AG759" s="294" t="s">
        <v>321</v>
      </c>
      <c r="AH759" s="294" t="s">
        <v>323</v>
      </c>
      <c r="AI759" s="301">
        <v>1661087</v>
      </c>
    </row>
    <row r="760" spans="27:35" ht="16" customHeight="1">
      <c r="AA760" s="299">
        <v>2019</v>
      </c>
      <c r="AB760" s="299">
        <v>3680</v>
      </c>
      <c r="AC760" s="300" t="s">
        <v>252</v>
      </c>
      <c r="AD760" s="299">
        <v>755</v>
      </c>
      <c r="AE760" s="299">
        <v>4</v>
      </c>
      <c r="AF760" s="294" t="s">
        <v>320</v>
      </c>
      <c r="AG760" s="294" t="s">
        <v>324</v>
      </c>
      <c r="AH760" s="294" t="s">
        <v>325</v>
      </c>
      <c r="AI760" s="301">
        <v>4845393</v>
      </c>
    </row>
    <row r="761" spans="27:35" ht="16" customHeight="1">
      <c r="AA761" s="299">
        <v>2019</v>
      </c>
      <c r="AB761" s="299">
        <v>3680</v>
      </c>
      <c r="AC761" s="300" t="s">
        <v>252</v>
      </c>
      <c r="AD761" s="299">
        <v>755</v>
      </c>
      <c r="AE761" s="299">
        <v>5</v>
      </c>
      <c r="AF761" s="294" t="s">
        <v>320</v>
      </c>
      <c r="AG761" s="294" t="s">
        <v>324</v>
      </c>
      <c r="AH761" s="294" t="s">
        <v>326</v>
      </c>
      <c r="AI761" s="301">
        <v>9206448</v>
      </c>
    </row>
    <row r="762" spans="27:35" ht="16" customHeight="1">
      <c r="AA762" s="299">
        <v>2019</v>
      </c>
      <c r="AB762" s="299">
        <v>3680</v>
      </c>
      <c r="AC762" s="300" t="s">
        <v>252</v>
      </c>
      <c r="AD762" s="299">
        <v>755</v>
      </c>
      <c r="AE762" s="299">
        <v>6</v>
      </c>
      <c r="AF762" s="294" t="s">
        <v>320</v>
      </c>
      <c r="AG762" s="294" t="s">
        <v>327</v>
      </c>
      <c r="AH762" s="294" t="s">
        <v>328</v>
      </c>
      <c r="AI762" s="301">
        <v>0</v>
      </c>
    </row>
    <row r="763" spans="27:35" ht="16" customHeight="1">
      <c r="AA763" s="299">
        <v>2019</v>
      </c>
      <c r="AB763" s="299">
        <v>3680</v>
      </c>
      <c r="AC763" s="300" t="s">
        <v>252</v>
      </c>
      <c r="AD763" s="299">
        <v>755</v>
      </c>
      <c r="AE763" s="299">
        <v>7</v>
      </c>
      <c r="AF763" s="294" t="s">
        <v>320</v>
      </c>
      <c r="AG763" s="294" t="s">
        <v>324</v>
      </c>
      <c r="AH763" s="294" t="s">
        <v>329</v>
      </c>
      <c r="AI763" s="301">
        <v>9206448</v>
      </c>
    </row>
    <row r="764" spans="27:35" ht="16" customHeight="1">
      <c r="AA764" s="299">
        <v>2019</v>
      </c>
      <c r="AB764" s="299">
        <v>3680</v>
      </c>
      <c r="AC764" s="300" t="s">
        <v>252</v>
      </c>
      <c r="AD764" s="299">
        <v>755</v>
      </c>
      <c r="AE764" s="299">
        <v>8</v>
      </c>
      <c r="AF764" s="294" t="s">
        <v>330</v>
      </c>
      <c r="AG764" s="294" t="s">
        <v>331</v>
      </c>
      <c r="AH764" s="294" t="s">
        <v>322</v>
      </c>
      <c r="AI764" s="301">
        <v>6099485</v>
      </c>
    </row>
    <row r="765" spans="27:35" ht="16" customHeight="1">
      <c r="AA765" s="299">
        <v>2019</v>
      </c>
      <c r="AB765" s="299">
        <v>3680</v>
      </c>
      <c r="AC765" s="300" t="s">
        <v>252</v>
      </c>
      <c r="AD765" s="299">
        <v>755</v>
      </c>
      <c r="AE765" s="299">
        <v>9</v>
      </c>
      <c r="AF765" s="294" t="s">
        <v>330</v>
      </c>
      <c r="AG765" s="294" t="s">
        <v>331</v>
      </c>
      <c r="AH765" s="294" t="s">
        <v>323</v>
      </c>
      <c r="AI765" s="301">
        <v>3201307</v>
      </c>
    </row>
    <row r="766" spans="27:35" ht="16" customHeight="1">
      <c r="AA766" s="299">
        <v>2019</v>
      </c>
      <c r="AB766" s="299">
        <v>3680</v>
      </c>
      <c r="AC766" s="300" t="s">
        <v>252</v>
      </c>
      <c r="AD766" s="299">
        <v>755</v>
      </c>
      <c r="AE766" s="299">
        <v>10</v>
      </c>
      <c r="AF766" s="294" t="s">
        <v>330</v>
      </c>
      <c r="AG766" s="294" t="s">
        <v>332</v>
      </c>
      <c r="AH766" s="294" t="s">
        <v>325</v>
      </c>
      <c r="AI766" s="301">
        <v>11490242</v>
      </c>
    </row>
    <row r="767" spans="27:35" ht="16" customHeight="1">
      <c r="AA767" s="299">
        <v>2019</v>
      </c>
      <c r="AB767" s="299">
        <v>3680</v>
      </c>
      <c r="AC767" s="300" t="s">
        <v>252</v>
      </c>
      <c r="AD767" s="299">
        <v>755</v>
      </c>
      <c r="AE767" s="299">
        <v>11</v>
      </c>
      <c r="AF767" s="294" t="s">
        <v>330</v>
      </c>
      <c r="AG767" s="294" t="s">
        <v>332</v>
      </c>
      <c r="AH767" s="294" t="s">
        <v>333</v>
      </c>
      <c r="AI767" s="301">
        <v>20791034</v>
      </c>
    </row>
    <row r="768" spans="27:35" ht="16" customHeight="1">
      <c r="AA768" s="299">
        <v>2019</v>
      </c>
      <c r="AB768" s="299">
        <v>3680</v>
      </c>
      <c r="AC768" s="300" t="s">
        <v>252</v>
      </c>
      <c r="AD768" s="299">
        <v>755</v>
      </c>
      <c r="AE768" s="299">
        <v>12</v>
      </c>
      <c r="AF768" s="294" t="s">
        <v>330</v>
      </c>
      <c r="AG768" s="294" t="s">
        <v>334</v>
      </c>
      <c r="AH768" s="294" t="s">
        <v>335</v>
      </c>
      <c r="AI768" s="301">
        <v>1923181</v>
      </c>
    </row>
    <row r="769" spans="27:35" ht="16" customHeight="1">
      <c r="AA769" s="299">
        <v>2019</v>
      </c>
      <c r="AB769" s="299">
        <v>3680</v>
      </c>
      <c r="AC769" s="300" t="s">
        <v>252</v>
      </c>
      <c r="AD769" s="299">
        <v>755</v>
      </c>
      <c r="AE769" s="299">
        <v>13</v>
      </c>
      <c r="AF769" s="294" t="s">
        <v>330</v>
      </c>
      <c r="AG769" s="294" t="s">
        <v>336</v>
      </c>
      <c r="AH769" s="294" t="s">
        <v>308</v>
      </c>
      <c r="AI769" s="301">
        <v>647626</v>
      </c>
    </row>
    <row r="770" spans="27:35" ht="16" customHeight="1">
      <c r="AA770" s="299">
        <v>2019</v>
      </c>
      <c r="AB770" s="299">
        <v>3680</v>
      </c>
      <c r="AC770" s="300" t="s">
        <v>252</v>
      </c>
      <c r="AD770" s="299">
        <v>755</v>
      </c>
      <c r="AE770" s="299">
        <v>14</v>
      </c>
      <c r="AF770" s="294" t="s">
        <v>330</v>
      </c>
      <c r="AG770" s="294" t="s">
        <v>337</v>
      </c>
      <c r="AH770" s="294" t="s">
        <v>338</v>
      </c>
      <c r="AI770" s="301">
        <v>23361841</v>
      </c>
    </row>
    <row r="771" spans="27:35" ht="16" customHeight="1">
      <c r="AA771" s="299">
        <v>2019</v>
      </c>
      <c r="AB771" s="299">
        <v>3680</v>
      </c>
      <c r="AC771" s="300" t="s">
        <v>252</v>
      </c>
      <c r="AD771" s="299">
        <v>755</v>
      </c>
      <c r="AE771" s="299">
        <v>15</v>
      </c>
      <c r="AF771" s="294" t="s">
        <v>385</v>
      </c>
      <c r="AG771" s="294" t="s">
        <v>386</v>
      </c>
      <c r="AH771" s="294" t="s">
        <v>387</v>
      </c>
      <c r="AI771" s="301">
        <v>0</v>
      </c>
    </row>
    <row r="772" spans="27:35" ht="16" customHeight="1">
      <c r="AA772" s="299">
        <v>2019</v>
      </c>
      <c r="AB772" s="299">
        <v>3680</v>
      </c>
      <c r="AC772" s="300" t="s">
        <v>252</v>
      </c>
      <c r="AD772" s="299">
        <v>755</v>
      </c>
      <c r="AE772" s="299">
        <v>16</v>
      </c>
      <c r="AF772" s="294" t="s">
        <v>385</v>
      </c>
      <c r="AG772" s="294" t="s">
        <v>386</v>
      </c>
      <c r="AH772" s="294" t="s">
        <v>388</v>
      </c>
      <c r="AI772" s="301">
        <v>546000</v>
      </c>
    </row>
    <row r="773" spans="27:35" ht="16" customHeight="1">
      <c r="AA773" s="299">
        <v>2019</v>
      </c>
      <c r="AB773" s="299">
        <v>3680</v>
      </c>
      <c r="AC773" s="300" t="s">
        <v>252</v>
      </c>
      <c r="AD773" s="299">
        <v>755</v>
      </c>
      <c r="AE773" s="299">
        <v>17</v>
      </c>
      <c r="AF773" s="294" t="s">
        <v>385</v>
      </c>
      <c r="AG773" s="294" t="s">
        <v>386</v>
      </c>
      <c r="AH773" s="294" t="s">
        <v>389</v>
      </c>
      <c r="AI773" s="301">
        <v>9087000</v>
      </c>
    </row>
    <row r="774" spans="27:35" ht="16" customHeight="1">
      <c r="AA774" s="299">
        <v>2019</v>
      </c>
      <c r="AB774" s="299">
        <v>3680</v>
      </c>
      <c r="AC774" s="300" t="s">
        <v>252</v>
      </c>
      <c r="AD774" s="299">
        <v>755</v>
      </c>
      <c r="AE774" s="299">
        <v>18</v>
      </c>
      <c r="AF774" s="294" t="s">
        <v>385</v>
      </c>
      <c r="AG774" s="294" t="s">
        <v>386</v>
      </c>
      <c r="AH774" s="294" t="s">
        <v>390</v>
      </c>
      <c r="AI774" s="301">
        <v>5036000</v>
      </c>
    </row>
    <row r="775" spans="27:35" ht="16" customHeight="1">
      <c r="AA775" s="299">
        <v>2019</v>
      </c>
      <c r="AB775" s="299">
        <v>3680</v>
      </c>
      <c r="AC775" s="300" t="s">
        <v>252</v>
      </c>
      <c r="AD775" s="299">
        <v>755</v>
      </c>
      <c r="AE775" s="299">
        <v>19</v>
      </c>
      <c r="AF775" s="294" t="s">
        <v>385</v>
      </c>
      <c r="AG775" s="294" t="s">
        <v>386</v>
      </c>
      <c r="AH775" s="294" t="s">
        <v>391</v>
      </c>
      <c r="AI775" s="301">
        <v>3734000</v>
      </c>
    </row>
    <row r="776" spans="27:35" ht="16" customHeight="1">
      <c r="AA776" s="299">
        <v>2019</v>
      </c>
      <c r="AB776" s="299">
        <v>3680</v>
      </c>
      <c r="AC776" s="300" t="s">
        <v>252</v>
      </c>
      <c r="AD776" s="299">
        <v>755</v>
      </c>
      <c r="AE776" s="299">
        <v>20</v>
      </c>
      <c r="AF776" s="294" t="s">
        <v>385</v>
      </c>
      <c r="AG776" s="294" t="s">
        <v>386</v>
      </c>
      <c r="AH776" s="294" t="s">
        <v>392</v>
      </c>
      <c r="AI776" s="301">
        <v>52932000</v>
      </c>
    </row>
    <row r="777" spans="27:35" ht="16" customHeight="1">
      <c r="AA777" s="299">
        <v>2019</v>
      </c>
      <c r="AB777" s="299">
        <v>3680</v>
      </c>
      <c r="AC777" s="300" t="s">
        <v>252</v>
      </c>
      <c r="AD777" s="299">
        <v>755</v>
      </c>
      <c r="AE777" s="299">
        <v>21</v>
      </c>
      <c r="AF777" s="294" t="s">
        <v>385</v>
      </c>
      <c r="AG777" s="294" t="s">
        <v>386</v>
      </c>
      <c r="AH777" s="294" t="s">
        <v>393</v>
      </c>
      <c r="AI777" s="301">
        <v>417000</v>
      </c>
    </row>
    <row r="778" spans="27:35" ht="16" customHeight="1">
      <c r="AA778" s="299">
        <v>2019</v>
      </c>
      <c r="AB778" s="299">
        <v>3680</v>
      </c>
      <c r="AC778" s="300" t="s">
        <v>252</v>
      </c>
      <c r="AD778" s="299">
        <v>755</v>
      </c>
      <c r="AE778" s="299">
        <v>22</v>
      </c>
      <c r="AF778" s="294" t="s">
        <v>385</v>
      </c>
      <c r="AG778" s="294" t="s">
        <v>386</v>
      </c>
      <c r="AH778" s="294" t="s">
        <v>394</v>
      </c>
      <c r="AI778" s="301">
        <v>151000</v>
      </c>
    </row>
    <row r="779" spans="27:35" ht="16" customHeight="1">
      <c r="AA779" s="299">
        <v>2019</v>
      </c>
      <c r="AB779" s="299">
        <v>3680</v>
      </c>
      <c r="AC779" s="300" t="s">
        <v>252</v>
      </c>
      <c r="AD779" s="299">
        <v>755</v>
      </c>
      <c r="AE779" s="299">
        <v>23</v>
      </c>
      <c r="AF779" s="294" t="s">
        <v>385</v>
      </c>
      <c r="AG779" s="294" t="s">
        <v>386</v>
      </c>
      <c r="AH779" s="294" t="s">
        <v>395</v>
      </c>
      <c r="AI779" s="301">
        <v>16000</v>
      </c>
    </row>
    <row r="780" spans="27:35" ht="16" customHeight="1">
      <c r="AA780" s="299">
        <v>2019</v>
      </c>
      <c r="AB780" s="299">
        <v>3680</v>
      </c>
      <c r="AC780" s="300" t="s">
        <v>252</v>
      </c>
      <c r="AD780" s="299">
        <v>755</v>
      </c>
      <c r="AE780" s="299">
        <v>24</v>
      </c>
      <c r="AF780" s="294" t="s">
        <v>385</v>
      </c>
      <c r="AG780" s="294" t="s">
        <v>386</v>
      </c>
      <c r="AH780" s="294" t="s">
        <v>396</v>
      </c>
      <c r="AI780" s="301">
        <v>1000</v>
      </c>
    </row>
    <row r="781" spans="27:35" ht="16" customHeight="1">
      <c r="AA781" s="299">
        <v>2019</v>
      </c>
      <c r="AB781" s="299">
        <v>3680</v>
      </c>
      <c r="AC781" s="300" t="s">
        <v>252</v>
      </c>
      <c r="AD781" s="299">
        <v>755</v>
      </c>
      <c r="AE781" s="299">
        <v>25</v>
      </c>
      <c r="AF781" s="294" t="s">
        <v>385</v>
      </c>
      <c r="AG781" s="294" t="s">
        <v>386</v>
      </c>
      <c r="AH781" s="294" t="s">
        <v>397</v>
      </c>
      <c r="AI781" s="301">
        <v>8792000</v>
      </c>
    </row>
    <row r="782" spans="27:35" ht="16" customHeight="1">
      <c r="AA782" s="299">
        <v>2019</v>
      </c>
      <c r="AB782" s="299">
        <v>3680</v>
      </c>
      <c r="AC782" s="300" t="s">
        <v>252</v>
      </c>
      <c r="AD782" s="299">
        <v>755</v>
      </c>
      <c r="AE782" s="299">
        <v>26</v>
      </c>
      <c r="AF782" s="294" t="s">
        <v>385</v>
      </c>
      <c r="AG782" s="294" t="s">
        <v>386</v>
      </c>
      <c r="AH782" s="294" t="s">
        <v>398</v>
      </c>
      <c r="AI782" s="301">
        <v>3564000</v>
      </c>
    </row>
    <row r="783" spans="27:35" ht="16" customHeight="1">
      <c r="AA783" s="299">
        <v>2019</v>
      </c>
      <c r="AB783" s="299">
        <v>3680</v>
      </c>
      <c r="AC783" s="300" t="s">
        <v>252</v>
      </c>
      <c r="AD783" s="299">
        <v>755</v>
      </c>
      <c r="AE783" s="299">
        <v>27</v>
      </c>
      <c r="AF783" s="294" t="s">
        <v>385</v>
      </c>
      <c r="AG783" s="294" t="s">
        <v>386</v>
      </c>
      <c r="AH783" s="294" t="s">
        <v>399</v>
      </c>
      <c r="AI783" s="301">
        <v>91000</v>
      </c>
    </row>
    <row r="784" spans="27:35" ht="16" customHeight="1">
      <c r="AA784" s="299">
        <v>2019</v>
      </c>
      <c r="AB784" s="299">
        <v>3680</v>
      </c>
      <c r="AC784" s="300" t="s">
        <v>252</v>
      </c>
      <c r="AD784" s="299">
        <v>755</v>
      </c>
      <c r="AE784" s="299">
        <v>28</v>
      </c>
      <c r="AF784" s="294" t="s">
        <v>385</v>
      </c>
      <c r="AG784" s="294" t="s">
        <v>386</v>
      </c>
      <c r="AH784" s="294" t="s">
        <v>400</v>
      </c>
      <c r="AI784" s="301">
        <v>10010000</v>
      </c>
    </row>
    <row r="785" spans="27:35" ht="16" customHeight="1">
      <c r="AA785" s="299">
        <v>2019</v>
      </c>
      <c r="AB785" s="299">
        <v>3680</v>
      </c>
      <c r="AC785" s="300" t="s">
        <v>252</v>
      </c>
      <c r="AD785" s="299">
        <v>755</v>
      </c>
      <c r="AE785" s="299">
        <v>29</v>
      </c>
      <c r="AF785" s="294" t="s">
        <v>385</v>
      </c>
      <c r="AG785" s="294" t="s">
        <v>401</v>
      </c>
      <c r="AH785" s="294" t="s">
        <v>402</v>
      </c>
      <c r="AI785" s="301">
        <v>65000</v>
      </c>
    </row>
    <row r="786" spans="27:35" ht="16" customHeight="1">
      <c r="AA786" s="299">
        <v>2019</v>
      </c>
      <c r="AB786" s="299">
        <v>3680</v>
      </c>
      <c r="AC786" s="300" t="s">
        <v>252</v>
      </c>
      <c r="AD786" s="299">
        <v>755</v>
      </c>
      <c r="AE786" s="299">
        <v>30</v>
      </c>
      <c r="AF786" s="294" t="s">
        <v>385</v>
      </c>
      <c r="AG786" s="294" t="s">
        <v>401</v>
      </c>
      <c r="AH786" s="294" t="s">
        <v>403</v>
      </c>
      <c r="AI786" s="301">
        <v>94442000</v>
      </c>
    </row>
    <row r="787" spans="27:35" ht="16" customHeight="1">
      <c r="AA787" s="299">
        <v>2019</v>
      </c>
      <c r="AB787" s="299">
        <v>3680</v>
      </c>
      <c r="AC787" s="300" t="s">
        <v>252</v>
      </c>
      <c r="AD787" s="299">
        <v>755</v>
      </c>
      <c r="AE787" s="299">
        <v>31</v>
      </c>
      <c r="AF787" s="294" t="s">
        <v>385</v>
      </c>
      <c r="AG787" s="294" t="s">
        <v>404</v>
      </c>
      <c r="AH787" s="294" t="s">
        <v>387</v>
      </c>
      <c r="AI787" s="301">
        <v>0</v>
      </c>
    </row>
    <row r="788" spans="27:35" ht="16" customHeight="1">
      <c r="AA788" s="299">
        <v>2019</v>
      </c>
      <c r="AB788" s="299">
        <v>3680</v>
      </c>
      <c r="AC788" s="300" t="s">
        <v>252</v>
      </c>
      <c r="AD788" s="299">
        <v>755</v>
      </c>
      <c r="AE788" s="299">
        <v>32</v>
      </c>
      <c r="AF788" s="294" t="s">
        <v>385</v>
      </c>
      <c r="AG788" s="294" t="s">
        <v>404</v>
      </c>
      <c r="AH788" s="294" t="s">
        <v>388</v>
      </c>
      <c r="AI788" s="301">
        <v>557000</v>
      </c>
    </row>
    <row r="789" spans="27:35" ht="16" customHeight="1">
      <c r="AA789" s="299">
        <v>2019</v>
      </c>
      <c r="AB789" s="299">
        <v>3680</v>
      </c>
      <c r="AC789" s="300" t="s">
        <v>252</v>
      </c>
      <c r="AD789" s="299">
        <v>755</v>
      </c>
      <c r="AE789" s="299">
        <v>33</v>
      </c>
      <c r="AF789" s="294" t="s">
        <v>385</v>
      </c>
      <c r="AG789" s="294" t="s">
        <v>404</v>
      </c>
      <c r="AH789" s="294" t="s">
        <v>389</v>
      </c>
      <c r="AI789" s="301">
        <v>9348000</v>
      </c>
    </row>
    <row r="790" spans="27:35" ht="16" customHeight="1">
      <c r="AA790" s="299">
        <v>2019</v>
      </c>
      <c r="AB790" s="299">
        <v>3680</v>
      </c>
      <c r="AC790" s="300" t="s">
        <v>252</v>
      </c>
      <c r="AD790" s="299">
        <v>755</v>
      </c>
      <c r="AE790" s="299">
        <v>34</v>
      </c>
      <c r="AF790" s="294" t="s">
        <v>385</v>
      </c>
      <c r="AG790" s="294" t="s">
        <v>404</v>
      </c>
      <c r="AH790" s="294" t="s">
        <v>390</v>
      </c>
      <c r="AI790" s="301">
        <v>5283000</v>
      </c>
    </row>
    <row r="791" spans="27:35" ht="16" customHeight="1">
      <c r="AA791" s="299">
        <v>2019</v>
      </c>
      <c r="AB791" s="299">
        <v>3680</v>
      </c>
      <c r="AC791" s="300" t="s">
        <v>252</v>
      </c>
      <c r="AD791" s="299">
        <v>755</v>
      </c>
      <c r="AE791" s="299">
        <v>35</v>
      </c>
      <c r="AF791" s="294" t="s">
        <v>385</v>
      </c>
      <c r="AG791" s="294" t="s">
        <v>404</v>
      </c>
      <c r="AH791" s="294" t="s">
        <v>391</v>
      </c>
      <c r="AI791" s="301">
        <v>3948000</v>
      </c>
    </row>
    <row r="792" spans="27:35" ht="16" customHeight="1">
      <c r="AA792" s="299">
        <v>2019</v>
      </c>
      <c r="AB792" s="299">
        <v>3680</v>
      </c>
      <c r="AC792" s="300" t="s">
        <v>252</v>
      </c>
      <c r="AD792" s="299">
        <v>755</v>
      </c>
      <c r="AE792" s="299">
        <v>36</v>
      </c>
      <c r="AF792" s="294" t="s">
        <v>385</v>
      </c>
      <c r="AG792" s="294" t="s">
        <v>404</v>
      </c>
      <c r="AH792" s="294" t="s">
        <v>392</v>
      </c>
      <c r="AI792" s="301">
        <v>44350000</v>
      </c>
    </row>
    <row r="793" spans="27:35" ht="16" customHeight="1">
      <c r="AA793" s="299">
        <v>2019</v>
      </c>
      <c r="AB793" s="299">
        <v>3680</v>
      </c>
      <c r="AC793" s="300" t="s">
        <v>252</v>
      </c>
      <c r="AD793" s="299">
        <v>755</v>
      </c>
      <c r="AE793" s="299">
        <v>37</v>
      </c>
      <c r="AF793" s="294" t="s">
        <v>385</v>
      </c>
      <c r="AG793" s="294" t="s">
        <v>404</v>
      </c>
      <c r="AH793" s="294" t="s">
        <v>393</v>
      </c>
      <c r="AI793" s="301">
        <v>442000</v>
      </c>
    </row>
    <row r="794" spans="27:35" ht="16" customHeight="1">
      <c r="AA794" s="299">
        <v>2019</v>
      </c>
      <c r="AB794" s="299">
        <v>3680</v>
      </c>
      <c r="AC794" s="300" t="s">
        <v>252</v>
      </c>
      <c r="AD794" s="299">
        <v>755</v>
      </c>
      <c r="AE794" s="299">
        <v>38</v>
      </c>
      <c r="AF794" s="294" t="s">
        <v>385</v>
      </c>
      <c r="AG794" s="294" t="s">
        <v>404</v>
      </c>
      <c r="AH794" s="294" t="s">
        <v>394</v>
      </c>
      <c r="AI794" s="301">
        <v>124000</v>
      </c>
    </row>
    <row r="795" spans="27:35" ht="16" customHeight="1">
      <c r="AA795" s="299">
        <v>2019</v>
      </c>
      <c r="AB795" s="299">
        <v>3680</v>
      </c>
      <c r="AC795" s="300" t="s">
        <v>252</v>
      </c>
      <c r="AD795" s="299">
        <v>755</v>
      </c>
      <c r="AE795" s="299">
        <v>39</v>
      </c>
      <c r="AF795" s="294" t="s">
        <v>385</v>
      </c>
      <c r="AG795" s="294" t="s">
        <v>404</v>
      </c>
      <c r="AH795" s="294" t="s">
        <v>395</v>
      </c>
      <c r="AI795" s="301">
        <v>16000</v>
      </c>
    </row>
    <row r="796" spans="27:35" ht="16" customHeight="1">
      <c r="AA796" s="299">
        <v>2019</v>
      </c>
      <c r="AB796" s="299">
        <v>3680</v>
      </c>
      <c r="AC796" s="300" t="s">
        <v>252</v>
      </c>
      <c r="AD796" s="299">
        <v>755</v>
      </c>
      <c r="AE796" s="299">
        <v>40</v>
      </c>
      <c r="AF796" s="294" t="s">
        <v>385</v>
      </c>
      <c r="AG796" s="294" t="s">
        <v>404</v>
      </c>
      <c r="AH796" s="294" t="s">
        <v>396</v>
      </c>
      <c r="AI796" s="301">
        <v>4000</v>
      </c>
    </row>
    <row r="797" spans="27:35" ht="16" customHeight="1">
      <c r="AA797" s="299">
        <v>2019</v>
      </c>
      <c r="AB797" s="299">
        <v>3680</v>
      </c>
      <c r="AC797" s="300" t="s">
        <v>252</v>
      </c>
      <c r="AD797" s="299">
        <v>755</v>
      </c>
      <c r="AE797" s="299">
        <v>41</v>
      </c>
      <c r="AF797" s="294" t="s">
        <v>385</v>
      </c>
      <c r="AG797" s="294" t="s">
        <v>404</v>
      </c>
      <c r="AH797" s="294" t="s">
        <v>397</v>
      </c>
      <c r="AI797" s="301">
        <v>382000</v>
      </c>
    </row>
    <row r="798" spans="27:35" ht="16" customHeight="1">
      <c r="AA798" s="299">
        <v>2019</v>
      </c>
      <c r="AB798" s="299">
        <v>3680</v>
      </c>
      <c r="AC798" s="300" t="s">
        <v>252</v>
      </c>
      <c r="AD798" s="299">
        <v>755</v>
      </c>
      <c r="AE798" s="299">
        <v>42</v>
      </c>
      <c r="AF798" s="294" t="s">
        <v>385</v>
      </c>
      <c r="AG798" s="294" t="s">
        <v>404</v>
      </c>
      <c r="AH798" s="294" t="s">
        <v>398</v>
      </c>
      <c r="AI798" s="301">
        <v>2132000</v>
      </c>
    </row>
    <row r="799" spans="27:35" ht="16" customHeight="1">
      <c r="AA799" s="299">
        <v>2019</v>
      </c>
      <c r="AB799" s="299">
        <v>3680</v>
      </c>
      <c r="AC799" s="300" t="s">
        <v>252</v>
      </c>
      <c r="AD799" s="299">
        <v>755</v>
      </c>
      <c r="AE799" s="299">
        <v>43</v>
      </c>
      <c r="AF799" s="294" t="s">
        <v>385</v>
      </c>
      <c r="AG799" s="294" t="s">
        <v>404</v>
      </c>
      <c r="AH799" s="294" t="s">
        <v>399</v>
      </c>
      <c r="AI799" s="301">
        <v>158000</v>
      </c>
    </row>
    <row r="800" spans="27:35" ht="16" customHeight="1">
      <c r="AA800" s="299">
        <v>2019</v>
      </c>
      <c r="AB800" s="299">
        <v>3680</v>
      </c>
      <c r="AC800" s="300" t="s">
        <v>252</v>
      </c>
      <c r="AD800" s="299">
        <v>755</v>
      </c>
      <c r="AE800" s="299">
        <v>44</v>
      </c>
      <c r="AF800" s="294" t="s">
        <v>385</v>
      </c>
      <c r="AG800" s="294" t="s">
        <v>404</v>
      </c>
      <c r="AH800" s="294" t="s">
        <v>400</v>
      </c>
      <c r="AI800" s="301">
        <v>10171000</v>
      </c>
    </row>
    <row r="801" spans="27:35" ht="16" customHeight="1">
      <c r="AA801" s="299">
        <v>2019</v>
      </c>
      <c r="AB801" s="299">
        <v>3680</v>
      </c>
      <c r="AC801" s="300" t="s">
        <v>252</v>
      </c>
      <c r="AD801" s="299">
        <v>755</v>
      </c>
      <c r="AE801" s="299">
        <v>45</v>
      </c>
      <c r="AF801" s="294" t="s">
        <v>385</v>
      </c>
      <c r="AG801" s="294" t="s">
        <v>405</v>
      </c>
      <c r="AH801" s="294" t="s">
        <v>402</v>
      </c>
      <c r="AI801" s="301">
        <v>123000</v>
      </c>
    </row>
    <row r="802" spans="27:35" ht="16" customHeight="1">
      <c r="AA802" s="299">
        <v>2019</v>
      </c>
      <c r="AB802" s="299">
        <v>3680</v>
      </c>
      <c r="AC802" s="300" t="s">
        <v>252</v>
      </c>
      <c r="AD802" s="299">
        <v>755</v>
      </c>
      <c r="AE802" s="299">
        <v>46</v>
      </c>
      <c r="AF802" s="294" t="s">
        <v>385</v>
      </c>
      <c r="AG802" s="294" t="s">
        <v>405</v>
      </c>
      <c r="AH802" s="294" t="s">
        <v>406</v>
      </c>
      <c r="AI802" s="301">
        <v>77038000</v>
      </c>
    </row>
    <row r="803" spans="27:35" ht="16" customHeight="1">
      <c r="AA803" s="299">
        <v>2019</v>
      </c>
      <c r="AB803" s="299">
        <v>3680</v>
      </c>
      <c r="AC803" s="300" t="s">
        <v>252</v>
      </c>
      <c r="AD803" s="299">
        <v>755</v>
      </c>
      <c r="AE803" s="299">
        <v>47</v>
      </c>
      <c r="AF803" s="294" t="s">
        <v>385</v>
      </c>
      <c r="AG803" s="294" t="s">
        <v>407</v>
      </c>
      <c r="AH803" s="294" t="s">
        <v>387</v>
      </c>
      <c r="AI803" s="301">
        <v>0</v>
      </c>
    </row>
    <row r="804" spans="27:35" ht="16" customHeight="1">
      <c r="AA804" s="299">
        <v>2019</v>
      </c>
      <c r="AB804" s="299">
        <v>3680</v>
      </c>
      <c r="AC804" s="300" t="s">
        <v>252</v>
      </c>
      <c r="AD804" s="299">
        <v>755</v>
      </c>
      <c r="AE804" s="299">
        <v>48</v>
      </c>
      <c r="AF804" s="294" t="s">
        <v>385</v>
      </c>
      <c r="AG804" s="294" t="s">
        <v>407</v>
      </c>
      <c r="AH804" s="294" t="s">
        <v>388</v>
      </c>
      <c r="AI804" s="301">
        <v>385000</v>
      </c>
    </row>
    <row r="805" spans="27:35" ht="16" customHeight="1">
      <c r="AA805" s="299">
        <v>2019</v>
      </c>
      <c r="AB805" s="299">
        <v>3680</v>
      </c>
      <c r="AC805" s="300" t="s">
        <v>252</v>
      </c>
      <c r="AD805" s="299">
        <v>755</v>
      </c>
      <c r="AE805" s="299">
        <v>49</v>
      </c>
      <c r="AF805" s="294" t="s">
        <v>385</v>
      </c>
      <c r="AG805" s="294" t="s">
        <v>407</v>
      </c>
      <c r="AH805" s="294" t="s">
        <v>389</v>
      </c>
      <c r="AI805" s="301">
        <v>2340000</v>
      </c>
    </row>
    <row r="806" spans="27:35" ht="16" customHeight="1">
      <c r="AA806" s="299">
        <v>2019</v>
      </c>
      <c r="AB806" s="299">
        <v>3680</v>
      </c>
      <c r="AC806" s="300" t="s">
        <v>252</v>
      </c>
      <c r="AD806" s="299">
        <v>755</v>
      </c>
      <c r="AE806" s="299">
        <v>50</v>
      </c>
      <c r="AF806" s="294" t="s">
        <v>385</v>
      </c>
      <c r="AG806" s="294" t="s">
        <v>407</v>
      </c>
      <c r="AH806" s="294" t="s">
        <v>390</v>
      </c>
      <c r="AI806" s="301">
        <v>12789000</v>
      </c>
    </row>
    <row r="807" spans="27:35" ht="16" customHeight="1">
      <c r="AA807" s="299">
        <v>2019</v>
      </c>
      <c r="AB807" s="299">
        <v>3680</v>
      </c>
      <c r="AC807" s="300" t="s">
        <v>252</v>
      </c>
      <c r="AD807" s="299">
        <v>755</v>
      </c>
      <c r="AE807" s="299">
        <v>51</v>
      </c>
      <c r="AF807" s="294" t="s">
        <v>385</v>
      </c>
      <c r="AG807" s="294" t="s">
        <v>407</v>
      </c>
      <c r="AH807" s="294" t="s">
        <v>391</v>
      </c>
      <c r="AI807" s="301">
        <v>2316000</v>
      </c>
    </row>
    <row r="808" spans="27:35" ht="16" customHeight="1">
      <c r="AA808" s="299">
        <v>2019</v>
      </c>
      <c r="AB808" s="299">
        <v>3680</v>
      </c>
      <c r="AC808" s="300" t="s">
        <v>252</v>
      </c>
      <c r="AD808" s="299">
        <v>755</v>
      </c>
      <c r="AE808" s="299">
        <v>52</v>
      </c>
      <c r="AF808" s="294" t="s">
        <v>385</v>
      </c>
      <c r="AG808" s="294" t="s">
        <v>407</v>
      </c>
      <c r="AH808" s="294" t="s">
        <v>392</v>
      </c>
      <c r="AI808" s="301">
        <v>105287000</v>
      </c>
    </row>
    <row r="809" spans="27:35" ht="16" customHeight="1">
      <c r="AA809" s="299">
        <v>2019</v>
      </c>
      <c r="AB809" s="299">
        <v>3680</v>
      </c>
      <c r="AC809" s="300" t="s">
        <v>252</v>
      </c>
      <c r="AD809" s="299">
        <v>755</v>
      </c>
      <c r="AE809" s="299">
        <v>53</v>
      </c>
      <c r="AF809" s="294" t="s">
        <v>385</v>
      </c>
      <c r="AG809" s="294" t="s">
        <v>407</v>
      </c>
      <c r="AH809" s="294" t="s">
        <v>393</v>
      </c>
      <c r="AI809" s="301">
        <v>468000</v>
      </c>
    </row>
    <row r="810" spans="27:35" ht="16" customHeight="1">
      <c r="AA810" s="299">
        <v>2019</v>
      </c>
      <c r="AB810" s="299">
        <v>3680</v>
      </c>
      <c r="AC810" s="300" t="s">
        <v>252</v>
      </c>
      <c r="AD810" s="299">
        <v>755</v>
      </c>
      <c r="AE810" s="299">
        <v>54</v>
      </c>
      <c r="AF810" s="294" t="s">
        <v>385</v>
      </c>
      <c r="AG810" s="294" t="s">
        <v>407</v>
      </c>
      <c r="AH810" s="294" t="s">
        <v>394</v>
      </c>
      <c r="AI810" s="301">
        <v>902000</v>
      </c>
    </row>
    <row r="811" spans="27:35" ht="16" customHeight="1">
      <c r="AA811" s="299">
        <v>2019</v>
      </c>
      <c r="AB811" s="299">
        <v>3680</v>
      </c>
      <c r="AC811" s="300" t="s">
        <v>252</v>
      </c>
      <c r="AD811" s="299">
        <v>755</v>
      </c>
      <c r="AE811" s="299">
        <v>55</v>
      </c>
      <c r="AF811" s="294" t="s">
        <v>385</v>
      </c>
      <c r="AG811" s="294" t="s">
        <v>407</v>
      </c>
      <c r="AH811" s="294" t="s">
        <v>395</v>
      </c>
      <c r="AI811" s="301">
        <v>2264000</v>
      </c>
    </row>
    <row r="812" spans="27:35" ht="16" customHeight="1">
      <c r="AA812" s="299">
        <v>2019</v>
      </c>
      <c r="AB812" s="299">
        <v>3680</v>
      </c>
      <c r="AC812" s="300" t="s">
        <v>252</v>
      </c>
      <c r="AD812" s="299">
        <v>755</v>
      </c>
      <c r="AE812" s="299">
        <v>56</v>
      </c>
      <c r="AF812" s="294" t="s">
        <v>385</v>
      </c>
      <c r="AG812" s="294" t="s">
        <v>407</v>
      </c>
      <c r="AH812" s="294" t="s">
        <v>396</v>
      </c>
      <c r="AI812" s="301">
        <v>2000</v>
      </c>
    </row>
    <row r="813" spans="27:35" ht="16" customHeight="1">
      <c r="AA813" s="299">
        <v>2019</v>
      </c>
      <c r="AB813" s="299">
        <v>3680</v>
      </c>
      <c r="AC813" s="300" t="s">
        <v>252</v>
      </c>
      <c r="AD813" s="299">
        <v>755</v>
      </c>
      <c r="AE813" s="299">
        <v>57</v>
      </c>
      <c r="AF813" s="294" t="s">
        <v>385</v>
      </c>
      <c r="AG813" s="294" t="s">
        <v>407</v>
      </c>
      <c r="AH813" s="294" t="s">
        <v>397</v>
      </c>
      <c r="AI813" s="301">
        <v>44960000</v>
      </c>
    </row>
    <row r="814" spans="27:35" ht="16" customHeight="1">
      <c r="AA814" s="299">
        <v>2019</v>
      </c>
      <c r="AB814" s="299">
        <v>3680</v>
      </c>
      <c r="AC814" s="300" t="s">
        <v>252</v>
      </c>
      <c r="AD814" s="299">
        <v>755</v>
      </c>
      <c r="AE814" s="299">
        <v>58</v>
      </c>
      <c r="AF814" s="294" t="s">
        <v>385</v>
      </c>
      <c r="AG814" s="294" t="s">
        <v>407</v>
      </c>
      <c r="AH814" s="294" t="s">
        <v>398</v>
      </c>
      <c r="AI814" s="301">
        <v>21051000</v>
      </c>
    </row>
    <row r="815" spans="27:35" ht="16" customHeight="1">
      <c r="AA815" s="299">
        <v>2019</v>
      </c>
      <c r="AB815" s="299">
        <v>3680</v>
      </c>
      <c r="AC815" s="300" t="s">
        <v>252</v>
      </c>
      <c r="AD815" s="299">
        <v>755</v>
      </c>
      <c r="AE815" s="299">
        <v>59</v>
      </c>
      <c r="AF815" s="294" t="s">
        <v>385</v>
      </c>
      <c r="AG815" s="294" t="s">
        <v>407</v>
      </c>
      <c r="AH815" s="294" t="s">
        <v>399</v>
      </c>
      <c r="AI815" s="301">
        <v>1000</v>
      </c>
    </row>
    <row r="816" spans="27:35" ht="16" customHeight="1">
      <c r="AA816" s="299">
        <v>2019</v>
      </c>
      <c r="AB816" s="299">
        <v>3680</v>
      </c>
      <c r="AC816" s="300" t="s">
        <v>252</v>
      </c>
      <c r="AD816" s="299">
        <v>755</v>
      </c>
      <c r="AE816" s="299">
        <v>60</v>
      </c>
      <c r="AF816" s="294" t="s">
        <v>385</v>
      </c>
      <c r="AG816" s="294" t="s">
        <v>407</v>
      </c>
      <c r="AH816" s="294" t="s">
        <v>400</v>
      </c>
      <c r="AI816" s="301">
        <v>4292000</v>
      </c>
    </row>
    <row r="817" spans="27:35" ht="16" customHeight="1">
      <c r="AA817" s="299">
        <v>2019</v>
      </c>
      <c r="AB817" s="299">
        <v>3680</v>
      </c>
      <c r="AC817" s="300" t="s">
        <v>252</v>
      </c>
      <c r="AD817" s="299">
        <v>755</v>
      </c>
      <c r="AE817" s="299">
        <v>61</v>
      </c>
      <c r="AF817" s="294" t="s">
        <v>385</v>
      </c>
      <c r="AG817" s="294" t="s">
        <v>407</v>
      </c>
      <c r="AH817" s="294" t="s">
        <v>408</v>
      </c>
      <c r="AI817" s="301">
        <v>9236000</v>
      </c>
    </row>
    <row r="818" spans="27:35" ht="16" customHeight="1">
      <c r="AA818" s="299">
        <v>2019</v>
      </c>
      <c r="AB818" s="299">
        <v>3680</v>
      </c>
      <c r="AC818" s="300" t="s">
        <v>252</v>
      </c>
      <c r="AD818" s="299">
        <v>755</v>
      </c>
      <c r="AE818" s="299">
        <v>62</v>
      </c>
      <c r="AF818" s="294" t="s">
        <v>385</v>
      </c>
      <c r="AG818" s="294" t="s">
        <v>407</v>
      </c>
      <c r="AH818" s="294" t="s">
        <v>409</v>
      </c>
      <c r="AI818" s="301">
        <v>136435000</v>
      </c>
    </row>
    <row r="819" spans="27:35" ht="16" customHeight="1">
      <c r="AA819" s="299">
        <v>2019</v>
      </c>
      <c r="AB819" s="299">
        <v>3680</v>
      </c>
      <c r="AC819" s="300" t="s">
        <v>252</v>
      </c>
      <c r="AD819" s="299">
        <v>755</v>
      </c>
      <c r="AE819" s="299">
        <v>63</v>
      </c>
      <c r="AF819" s="294" t="s">
        <v>385</v>
      </c>
      <c r="AG819" s="294" t="s">
        <v>410</v>
      </c>
      <c r="AH819" s="294" t="s">
        <v>402</v>
      </c>
      <c r="AI819" s="301">
        <v>153000</v>
      </c>
    </row>
    <row r="820" spans="27:35" ht="16" customHeight="1">
      <c r="AA820" s="299">
        <v>2019</v>
      </c>
      <c r="AB820" s="299">
        <v>3680</v>
      </c>
      <c r="AC820" s="300" t="s">
        <v>252</v>
      </c>
      <c r="AD820" s="299">
        <v>755</v>
      </c>
      <c r="AE820" s="299">
        <v>64</v>
      </c>
      <c r="AF820" s="294" t="s">
        <v>385</v>
      </c>
      <c r="AG820" s="294" t="s">
        <v>410</v>
      </c>
      <c r="AH820" s="294" t="s">
        <v>411</v>
      </c>
      <c r="AI820" s="301">
        <v>342881000</v>
      </c>
    </row>
    <row r="821" spans="27:35" ht="16" customHeight="1">
      <c r="AA821" s="299">
        <v>2019</v>
      </c>
      <c r="AB821" s="299">
        <v>3680</v>
      </c>
      <c r="AC821" s="300" t="s">
        <v>252</v>
      </c>
      <c r="AD821" s="299">
        <v>755</v>
      </c>
      <c r="AE821" s="299">
        <v>65</v>
      </c>
      <c r="AF821" s="294" t="s">
        <v>385</v>
      </c>
      <c r="AG821" s="294" t="s">
        <v>412</v>
      </c>
      <c r="AH821" s="294" t="s">
        <v>387</v>
      </c>
      <c r="AI821" s="301">
        <v>0</v>
      </c>
    </row>
    <row r="822" spans="27:35" ht="16" customHeight="1">
      <c r="AA822" s="299">
        <v>2019</v>
      </c>
      <c r="AB822" s="299">
        <v>3680</v>
      </c>
      <c r="AC822" s="300" t="s">
        <v>252</v>
      </c>
      <c r="AD822" s="299">
        <v>755</v>
      </c>
      <c r="AE822" s="299">
        <v>66</v>
      </c>
      <c r="AF822" s="294" t="s">
        <v>385</v>
      </c>
      <c r="AG822" s="294" t="s">
        <v>412</v>
      </c>
      <c r="AH822" s="294" t="s">
        <v>388</v>
      </c>
      <c r="AI822" s="301">
        <v>307000</v>
      </c>
    </row>
    <row r="823" spans="27:35" ht="16" customHeight="1">
      <c r="AA823" s="299">
        <v>2019</v>
      </c>
      <c r="AB823" s="299">
        <v>3680</v>
      </c>
      <c r="AC823" s="300" t="s">
        <v>252</v>
      </c>
      <c r="AD823" s="299">
        <v>755</v>
      </c>
      <c r="AE823" s="299">
        <v>67</v>
      </c>
      <c r="AF823" s="294" t="s">
        <v>385</v>
      </c>
      <c r="AG823" s="294" t="s">
        <v>412</v>
      </c>
      <c r="AH823" s="294" t="s">
        <v>389</v>
      </c>
      <c r="AI823" s="301">
        <v>2709000</v>
      </c>
    </row>
    <row r="824" spans="27:35" ht="16" customHeight="1">
      <c r="AA824" s="299">
        <v>2019</v>
      </c>
      <c r="AB824" s="299">
        <v>3680</v>
      </c>
      <c r="AC824" s="300" t="s">
        <v>252</v>
      </c>
      <c r="AD824" s="299">
        <v>755</v>
      </c>
      <c r="AE824" s="299">
        <v>68</v>
      </c>
      <c r="AF824" s="294" t="s">
        <v>385</v>
      </c>
      <c r="AG824" s="294" t="s">
        <v>412</v>
      </c>
      <c r="AH824" s="294" t="s">
        <v>390</v>
      </c>
      <c r="AI824" s="301">
        <v>12586000</v>
      </c>
    </row>
    <row r="825" spans="27:35" ht="16" customHeight="1">
      <c r="AA825" s="299">
        <v>2019</v>
      </c>
      <c r="AB825" s="299">
        <v>3680</v>
      </c>
      <c r="AC825" s="300" t="s">
        <v>252</v>
      </c>
      <c r="AD825" s="299">
        <v>755</v>
      </c>
      <c r="AE825" s="299">
        <v>69</v>
      </c>
      <c r="AF825" s="294" t="s">
        <v>385</v>
      </c>
      <c r="AG825" s="294" t="s">
        <v>412</v>
      </c>
      <c r="AH825" s="294" t="s">
        <v>391</v>
      </c>
      <c r="AI825" s="301">
        <v>2382000</v>
      </c>
    </row>
    <row r="826" spans="27:35" ht="16" customHeight="1">
      <c r="AA826" s="299">
        <v>2019</v>
      </c>
      <c r="AB826" s="299">
        <v>3680</v>
      </c>
      <c r="AC826" s="300" t="s">
        <v>252</v>
      </c>
      <c r="AD826" s="299">
        <v>755</v>
      </c>
      <c r="AE826" s="299">
        <v>70</v>
      </c>
      <c r="AF826" s="294" t="s">
        <v>385</v>
      </c>
      <c r="AG826" s="294" t="s">
        <v>412</v>
      </c>
      <c r="AH826" s="294" t="s">
        <v>392</v>
      </c>
      <c r="AI826" s="301">
        <v>104869000</v>
      </c>
    </row>
    <row r="827" spans="27:35" ht="16" customHeight="1">
      <c r="AA827" s="299">
        <v>2019</v>
      </c>
      <c r="AB827" s="299">
        <v>3680</v>
      </c>
      <c r="AC827" s="300" t="s">
        <v>252</v>
      </c>
      <c r="AD827" s="299">
        <v>755</v>
      </c>
      <c r="AE827" s="299">
        <v>71</v>
      </c>
      <c r="AF827" s="294" t="s">
        <v>385</v>
      </c>
      <c r="AG827" s="294" t="s">
        <v>412</v>
      </c>
      <c r="AH827" s="294" t="s">
        <v>393</v>
      </c>
      <c r="AI827" s="301">
        <v>467000</v>
      </c>
    </row>
    <row r="828" spans="27:35" ht="16" customHeight="1">
      <c r="AA828" s="299">
        <v>2019</v>
      </c>
      <c r="AB828" s="299">
        <v>3680</v>
      </c>
      <c r="AC828" s="300" t="s">
        <v>252</v>
      </c>
      <c r="AD828" s="299">
        <v>755</v>
      </c>
      <c r="AE828" s="299">
        <v>72</v>
      </c>
      <c r="AF828" s="294" t="s">
        <v>385</v>
      </c>
      <c r="AG828" s="294" t="s">
        <v>412</v>
      </c>
      <c r="AH828" s="294" t="s">
        <v>394</v>
      </c>
      <c r="AI828" s="301">
        <v>813000</v>
      </c>
    </row>
    <row r="829" spans="27:35" ht="16" customHeight="1">
      <c r="AA829" s="299">
        <v>2019</v>
      </c>
      <c r="AB829" s="299">
        <v>3680</v>
      </c>
      <c r="AC829" s="300" t="s">
        <v>252</v>
      </c>
      <c r="AD829" s="299">
        <v>755</v>
      </c>
      <c r="AE829" s="299">
        <v>73</v>
      </c>
      <c r="AF829" s="294" t="s">
        <v>385</v>
      </c>
      <c r="AG829" s="294" t="s">
        <v>412</v>
      </c>
      <c r="AH829" s="294" t="s">
        <v>395</v>
      </c>
      <c r="AI829" s="301">
        <v>2224000</v>
      </c>
    </row>
    <row r="830" spans="27:35" ht="16" customHeight="1">
      <c r="AA830" s="299">
        <v>2019</v>
      </c>
      <c r="AB830" s="299">
        <v>3680</v>
      </c>
      <c r="AC830" s="300" t="s">
        <v>252</v>
      </c>
      <c r="AD830" s="299">
        <v>755</v>
      </c>
      <c r="AE830" s="299">
        <v>74</v>
      </c>
      <c r="AF830" s="294" t="s">
        <v>385</v>
      </c>
      <c r="AG830" s="294" t="s">
        <v>412</v>
      </c>
      <c r="AH830" s="294" t="s">
        <v>396</v>
      </c>
      <c r="AI830" s="301">
        <v>3000</v>
      </c>
    </row>
    <row r="831" spans="27:35" ht="16" customHeight="1">
      <c r="AA831" s="299">
        <v>2019</v>
      </c>
      <c r="AB831" s="299">
        <v>3680</v>
      </c>
      <c r="AC831" s="300" t="s">
        <v>252</v>
      </c>
      <c r="AD831" s="299">
        <v>755</v>
      </c>
      <c r="AE831" s="299">
        <v>75</v>
      </c>
      <c r="AF831" s="294" t="s">
        <v>385</v>
      </c>
      <c r="AG831" s="294" t="s">
        <v>412</v>
      </c>
      <c r="AH831" s="294" t="s">
        <v>397</v>
      </c>
      <c r="AI831" s="301">
        <v>1848000</v>
      </c>
    </row>
    <row r="832" spans="27:35" ht="16" customHeight="1">
      <c r="AA832" s="299">
        <v>2019</v>
      </c>
      <c r="AB832" s="299">
        <v>3680</v>
      </c>
      <c r="AC832" s="300" t="s">
        <v>252</v>
      </c>
      <c r="AD832" s="299">
        <v>755</v>
      </c>
      <c r="AE832" s="299">
        <v>76</v>
      </c>
      <c r="AF832" s="294" t="s">
        <v>385</v>
      </c>
      <c r="AG832" s="294" t="s">
        <v>412</v>
      </c>
      <c r="AH832" s="294" t="s">
        <v>398</v>
      </c>
      <c r="AI832" s="301">
        <v>12018000</v>
      </c>
    </row>
    <row r="833" spans="27:35" ht="16" customHeight="1">
      <c r="AA833" s="299">
        <v>2019</v>
      </c>
      <c r="AB833" s="299">
        <v>3680</v>
      </c>
      <c r="AC833" s="300" t="s">
        <v>252</v>
      </c>
      <c r="AD833" s="299">
        <v>755</v>
      </c>
      <c r="AE833" s="299">
        <v>77</v>
      </c>
      <c r="AF833" s="294" t="s">
        <v>385</v>
      </c>
      <c r="AG833" s="294" t="s">
        <v>412</v>
      </c>
      <c r="AH833" s="294" t="s">
        <v>399</v>
      </c>
      <c r="AI833" s="301">
        <v>1000</v>
      </c>
    </row>
    <row r="834" spans="27:35" ht="16" customHeight="1">
      <c r="AA834" s="299">
        <v>2019</v>
      </c>
      <c r="AB834" s="299">
        <v>3680</v>
      </c>
      <c r="AC834" s="300" t="s">
        <v>252</v>
      </c>
      <c r="AD834" s="299">
        <v>755</v>
      </c>
      <c r="AE834" s="299">
        <v>78</v>
      </c>
      <c r="AF834" s="294" t="s">
        <v>385</v>
      </c>
      <c r="AG834" s="294" t="s">
        <v>412</v>
      </c>
      <c r="AH834" s="294" t="s">
        <v>400</v>
      </c>
      <c r="AI834" s="301">
        <v>4686000</v>
      </c>
    </row>
    <row r="835" spans="27:35" ht="16" customHeight="1">
      <c r="AA835" s="299">
        <v>2019</v>
      </c>
      <c r="AB835" s="299">
        <v>3680</v>
      </c>
      <c r="AC835" s="300" t="s">
        <v>252</v>
      </c>
      <c r="AD835" s="299">
        <v>755</v>
      </c>
      <c r="AE835" s="299">
        <v>79</v>
      </c>
      <c r="AF835" s="294" t="s">
        <v>385</v>
      </c>
      <c r="AG835" s="294" t="s">
        <v>412</v>
      </c>
      <c r="AH835" s="294" t="s">
        <v>408</v>
      </c>
      <c r="AI835" s="301">
        <v>9804000</v>
      </c>
    </row>
    <row r="836" spans="27:35" ht="16" customHeight="1">
      <c r="AA836" s="299">
        <v>2019</v>
      </c>
      <c r="AB836" s="299">
        <v>3680</v>
      </c>
      <c r="AC836" s="300" t="s">
        <v>252</v>
      </c>
      <c r="AD836" s="299">
        <v>755</v>
      </c>
      <c r="AE836" s="299">
        <v>80</v>
      </c>
      <c r="AF836" s="294" t="s">
        <v>385</v>
      </c>
      <c r="AG836" s="294" t="s">
        <v>412</v>
      </c>
      <c r="AH836" s="294" t="s">
        <v>409</v>
      </c>
      <c r="AI836" s="301">
        <v>136586000</v>
      </c>
    </row>
    <row r="837" spans="27:35" ht="16" customHeight="1">
      <c r="AA837" s="299">
        <v>2019</v>
      </c>
      <c r="AB837" s="299">
        <v>3680</v>
      </c>
      <c r="AC837" s="300" t="s">
        <v>252</v>
      </c>
      <c r="AD837" s="299">
        <v>755</v>
      </c>
      <c r="AE837" s="299">
        <v>81</v>
      </c>
      <c r="AF837" s="294" t="s">
        <v>385</v>
      </c>
      <c r="AG837" s="294" t="s">
        <v>413</v>
      </c>
      <c r="AH837" s="294" t="s">
        <v>402</v>
      </c>
      <c r="AI837" s="301">
        <v>31000</v>
      </c>
    </row>
    <row r="838" spans="27:35" ht="16" customHeight="1">
      <c r="AA838" s="299">
        <v>2019</v>
      </c>
      <c r="AB838" s="299">
        <v>3680</v>
      </c>
      <c r="AC838" s="300" t="s">
        <v>252</v>
      </c>
      <c r="AD838" s="299">
        <v>755</v>
      </c>
      <c r="AE838" s="299">
        <v>82</v>
      </c>
      <c r="AF838" s="294" t="s">
        <v>385</v>
      </c>
      <c r="AG838" s="294" t="s">
        <v>413</v>
      </c>
      <c r="AH838" s="294" t="s">
        <v>414</v>
      </c>
      <c r="AI838" s="301">
        <v>291334000</v>
      </c>
    </row>
    <row r="839" spans="27:35" ht="16" customHeight="1">
      <c r="AA839" s="299">
        <v>2019</v>
      </c>
      <c r="AB839" s="299">
        <v>3680</v>
      </c>
      <c r="AC839" s="300" t="s">
        <v>252</v>
      </c>
      <c r="AD839" s="299">
        <v>755</v>
      </c>
      <c r="AE839" s="299">
        <v>83</v>
      </c>
      <c r="AF839" s="294" t="s">
        <v>377</v>
      </c>
      <c r="AG839" s="294" t="s">
        <v>378</v>
      </c>
      <c r="AH839" s="294" t="s">
        <v>415</v>
      </c>
      <c r="AI839" s="301">
        <v>2087000</v>
      </c>
    </row>
    <row r="840" spans="27:35" ht="16" customHeight="1">
      <c r="AA840" s="299">
        <v>2019</v>
      </c>
      <c r="AB840" s="299">
        <v>3680</v>
      </c>
      <c r="AC840" s="300" t="s">
        <v>252</v>
      </c>
      <c r="AD840" s="299">
        <v>755</v>
      </c>
      <c r="AE840" s="299">
        <v>84</v>
      </c>
      <c r="AF840" s="294" t="s">
        <v>377</v>
      </c>
      <c r="AG840" s="294" t="s">
        <v>378</v>
      </c>
      <c r="AH840" s="294" t="s">
        <v>416</v>
      </c>
      <c r="AI840" s="301">
        <v>0</v>
      </c>
    </row>
    <row r="841" spans="27:35" ht="16" customHeight="1">
      <c r="AA841" s="299">
        <v>2019</v>
      </c>
      <c r="AB841" s="299">
        <v>3680</v>
      </c>
      <c r="AC841" s="300" t="s">
        <v>252</v>
      </c>
      <c r="AD841" s="299">
        <v>755</v>
      </c>
      <c r="AE841" s="299">
        <v>85</v>
      </c>
      <c r="AF841" s="294" t="s">
        <v>339</v>
      </c>
      <c r="AG841" s="294" t="s">
        <v>340</v>
      </c>
      <c r="AH841" s="294" t="s">
        <v>322</v>
      </c>
      <c r="AI841" s="301">
        <v>288140000</v>
      </c>
    </row>
    <row r="842" spans="27:35" ht="16" customHeight="1">
      <c r="AA842" s="299">
        <v>2019</v>
      </c>
      <c r="AB842" s="299">
        <v>3680</v>
      </c>
      <c r="AC842" s="300" t="s">
        <v>252</v>
      </c>
      <c r="AD842" s="299">
        <v>755</v>
      </c>
      <c r="AE842" s="299">
        <v>86</v>
      </c>
      <c r="AF842" s="294" t="s">
        <v>339</v>
      </c>
      <c r="AG842" s="294" t="s">
        <v>340</v>
      </c>
      <c r="AH842" s="294" t="s">
        <v>323</v>
      </c>
      <c r="AI842" s="301">
        <v>66009000</v>
      </c>
    </row>
    <row r="843" spans="27:35" ht="16" customHeight="1">
      <c r="AA843" s="299">
        <v>2019</v>
      </c>
      <c r="AB843" s="299">
        <v>3680</v>
      </c>
      <c r="AC843" s="300" t="s">
        <v>252</v>
      </c>
      <c r="AD843" s="299">
        <v>755</v>
      </c>
      <c r="AE843" s="299">
        <v>87</v>
      </c>
      <c r="AF843" s="294" t="s">
        <v>339</v>
      </c>
      <c r="AG843" s="294" t="s">
        <v>341</v>
      </c>
      <c r="AH843" s="294" t="s">
        <v>325</v>
      </c>
      <c r="AI843" s="301">
        <v>453633000</v>
      </c>
    </row>
    <row r="844" spans="27:35" ht="16" customHeight="1">
      <c r="AA844" s="299">
        <v>2019</v>
      </c>
      <c r="AB844" s="299">
        <v>3680</v>
      </c>
      <c r="AC844" s="300" t="s">
        <v>252</v>
      </c>
      <c r="AD844" s="299">
        <v>755</v>
      </c>
      <c r="AE844" s="299">
        <v>88</v>
      </c>
      <c r="AF844" s="294" t="s">
        <v>339</v>
      </c>
      <c r="AG844" s="294" t="s">
        <v>341</v>
      </c>
      <c r="AH844" s="294" t="s">
        <v>342</v>
      </c>
      <c r="AI844" s="301">
        <v>807782000</v>
      </c>
    </row>
    <row r="845" spans="27:35" ht="16" customHeight="1">
      <c r="AA845" s="299">
        <v>2019</v>
      </c>
      <c r="AB845" s="299">
        <v>3680</v>
      </c>
      <c r="AC845" s="300" t="s">
        <v>252</v>
      </c>
      <c r="AD845" s="299">
        <v>755</v>
      </c>
      <c r="AE845" s="299">
        <v>89</v>
      </c>
      <c r="AF845" s="294" t="s">
        <v>377</v>
      </c>
      <c r="AG845" s="294" t="s">
        <v>378</v>
      </c>
      <c r="AH845" s="294" t="s">
        <v>379</v>
      </c>
      <c r="AI845" s="301">
        <v>4000</v>
      </c>
    </row>
    <row r="846" spans="27:35" ht="16" customHeight="1">
      <c r="AA846" s="299">
        <v>2019</v>
      </c>
      <c r="AB846" s="299">
        <v>3680</v>
      </c>
      <c r="AC846" s="300" t="s">
        <v>252</v>
      </c>
      <c r="AD846" s="299">
        <v>755</v>
      </c>
      <c r="AE846" s="299">
        <v>98</v>
      </c>
      <c r="AF846" s="294" t="s">
        <v>343</v>
      </c>
      <c r="AG846" s="294" t="s">
        <v>380</v>
      </c>
      <c r="AH846" s="294" t="s">
        <v>381</v>
      </c>
      <c r="AI846" s="301">
        <v>4198385000</v>
      </c>
    </row>
    <row r="847" spans="27:35" ht="16" customHeight="1">
      <c r="AA847" s="299">
        <v>2019</v>
      </c>
      <c r="AB847" s="299">
        <v>3680</v>
      </c>
      <c r="AC847" s="300" t="s">
        <v>252</v>
      </c>
      <c r="AD847" s="299">
        <v>755</v>
      </c>
      <c r="AE847" s="299">
        <v>99</v>
      </c>
      <c r="AF847" s="294" t="s">
        <v>343</v>
      </c>
      <c r="AG847" s="294" t="s">
        <v>344</v>
      </c>
      <c r="AH847" s="294" t="s">
        <v>322</v>
      </c>
      <c r="AI847" s="301">
        <v>25388185000</v>
      </c>
    </row>
    <row r="848" spans="27:35" ht="16" customHeight="1">
      <c r="AA848" s="299">
        <v>2019</v>
      </c>
      <c r="AB848" s="299">
        <v>3680</v>
      </c>
      <c r="AC848" s="300" t="s">
        <v>252</v>
      </c>
      <c r="AD848" s="299">
        <v>755</v>
      </c>
      <c r="AE848" s="299">
        <v>100</v>
      </c>
      <c r="AF848" s="294" t="s">
        <v>343</v>
      </c>
      <c r="AG848" s="294" t="s">
        <v>344</v>
      </c>
      <c r="AH848" s="294" t="s">
        <v>323</v>
      </c>
      <c r="AI848" s="301">
        <v>5449589000</v>
      </c>
    </row>
    <row r="849" spans="27:35" ht="16" customHeight="1">
      <c r="AA849" s="299">
        <v>2019</v>
      </c>
      <c r="AB849" s="299">
        <v>3680</v>
      </c>
      <c r="AC849" s="300" t="s">
        <v>252</v>
      </c>
      <c r="AD849" s="299">
        <v>755</v>
      </c>
      <c r="AE849" s="299">
        <v>101</v>
      </c>
      <c r="AF849" s="294" t="s">
        <v>343</v>
      </c>
      <c r="AG849" s="294" t="s">
        <v>344</v>
      </c>
      <c r="AH849" s="294" t="s">
        <v>325</v>
      </c>
      <c r="AI849" s="301">
        <v>39905245000</v>
      </c>
    </row>
    <row r="850" spans="27:35" ht="16" customHeight="1">
      <c r="AA850" s="299">
        <v>2019</v>
      </c>
      <c r="AB850" s="299">
        <v>3680</v>
      </c>
      <c r="AC850" s="300" t="s">
        <v>252</v>
      </c>
      <c r="AD850" s="299">
        <v>755</v>
      </c>
      <c r="AE850" s="299">
        <v>102</v>
      </c>
      <c r="AF850" s="294" t="s">
        <v>343</v>
      </c>
      <c r="AG850" s="294" t="s">
        <v>345</v>
      </c>
      <c r="AH850" s="294" t="s">
        <v>346</v>
      </c>
      <c r="AI850" s="301">
        <v>0</v>
      </c>
    </row>
    <row r="851" spans="27:35" ht="16" customHeight="1">
      <c r="AA851" s="299">
        <v>2019</v>
      </c>
      <c r="AB851" s="299">
        <v>3680</v>
      </c>
      <c r="AC851" s="300" t="s">
        <v>252</v>
      </c>
      <c r="AD851" s="299">
        <v>755</v>
      </c>
      <c r="AE851" s="299">
        <v>103</v>
      </c>
      <c r="AF851" s="294" t="s">
        <v>343</v>
      </c>
      <c r="AG851" s="294" t="s">
        <v>347</v>
      </c>
      <c r="AH851" s="294" t="s">
        <v>348</v>
      </c>
      <c r="AI851" s="301">
        <v>428316000</v>
      </c>
    </row>
    <row r="852" spans="27:35" ht="16" customHeight="1">
      <c r="AA852" s="299">
        <v>2019</v>
      </c>
      <c r="AB852" s="299">
        <v>3680</v>
      </c>
      <c r="AC852" s="300" t="s">
        <v>252</v>
      </c>
      <c r="AD852" s="299">
        <v>755</v>
      </c>
      <c r="AE852" s="299">
        <v>104</v>
      </c>
      <c r="AF852" s="294" t="s">
        <v>343</v>
      </c>
      <c r="AG852" s="294" t="s">
        <v>349</v>
      </c>
      <c r="AH852" s="294" t="s">
        <v>350</v>
      </c>
      <c r="AI852" s="301">
        <v>75369720000</v>
      </c>
    </row>
    <row r="853" spans="27:35" ht="16" customHeight="1">
      <c r="AA853" s="299">
        <v>2019</v>
      </c>
      <c r="AB853" s="299">
        <v>3680</v>
      </c>
      <c r="AC853" s="300" t="s">
        <v>252</v>
      </c>
      <c r="AD853" s="299">
        <v>755</v>
      </c>
      <c r="AE853" s="299">
        <v>105</v>
      </c>
      <c r="AF853" s="294" t="s">
        <v>351</v>
      </c>
      <c r="AG853" s="294" t="s">
        <v>352</v>
      </c>
      <c r="AH853" s="294" t="s">
        <v>353</v>
      </c>
      <c r="AI853" s="301">
        <v>73625000</v>
      </c>
    </row>
    <row r="854" spans="27:35" ht="16" customHeight="1">
      <c r="AA854" s="299">
        <v>2019</v>
      </c>
      <c r="AB854" s="299">
        <v>3680</v>
      </c>
      <c r="AC854" s="300" t="s">
        <v>252</v>
      </c>
      <c r="AD854" s="299">
        <v>755</v>
      </c>
      <c r="AE854" s="299">
        <v>106</v>
      </c>
      <c r="AF854" s="294" t="s">
        <v>351</v>
      </c>
      <c r="AG854" s="294" t="s">
        <v>354</v>
      </c>
      <c r="AH854" s="294" t="s">
        <v>355</v>
      </c>
      <c r="AI854" s="301">
        <v>767000</v>
      </c>
    </row>
    <row r="855" spans="27:35" ht="16" customHeight="1">
      <c r="AA855" s="299">
        <v>2019</v>
      </c>
      <c r="AB855" s="299">
        <v>3680</v>
      </c>
      <c r="AC855" s="300" t="s">
        <v>252</v>
      </c>
      <c r="AD855" s="299">
        <v>755</v>
      </c>
      <c r="AE855" s="299">
        <v>107</v>
      </c>
      <c r="AF855" s="294" t="s">
        <v>351</v>
      </c>
      <c r="AG855" s="294" t="s">
        <v>356</v>
      </c>
      <c r="AH855" s="294" t="s">
        <v>357</v>
      </c>
      <c r="AI855" s="301">
        <v>74392000</v>
      </c>
    </row>
    <row r="856" spans="27:35" ht="16" customHeight="1">
      <c r="AA856" s="299">
        <v>2019</v>
      </c>
      <c r="AB856" s="299">
        <v>3680</v>
      </c>
      <c r="AC856" s="300" t="s">
        <v>252</v>
      </c>
      <c r="AD856" s="299">
        <v>755</v>
      </c>
      <c r="AE856" s="299">
        <v>108</v>
      </c>
      <c r="AF856" s="294" t="s">
        <v>358</v>
      </c>
      <c r="AG856" s="294" t="s">
        <v>359</v>
      </c>
      <c r="AH856" s="294" t="s">
        <v>360</v>
      </c>
      <c r="AI856" s="301">
        <v>37543600000</v>
      </c>
    </row>
    <row r="857" spans="27:35" ht="16" customHeight="1">
      <c r="AA857" s="299">
        <v>2019</v>
      </c>
      <c r="AB857" s="299">
        <v>3680</v>
      </c>
      <c r="AC857" s="300" t="s">
        <v>252</v>
      </c>
      <c r="AD857" s="299">
        <v>755</v>
      </c>
      <c r="AE857" s="299">
        <v>109</v>
      </c>
      <c r="AF857" s="294" t="s">
        <v>358</v>
      </c>
      <c r="AG857" s="294" t="s">
        <v>359</v>
      </c>
      <c r="AH857" s="294" t="s">
        <v>361</v>
      </c>
      <c r="AI857" s="301">
        <v>0</v>
      </c>
    </row>
    <row r="858" spans="27:35" ht="16" customHeight="1">
      <c r="AA858" s="299">
        <v>2019</v>
      </c>
      <c r="AB858" s="299">
        <v>3680</v>
      </c>
      <c r="AC858" s="300" t="s">
        <v>252</v>
      </c>
      <c r="AD858" s="299">
        <v>755</v>
      </c>
      <c r="AE858" s="299">
        <v>110</v>
      </c>
      <c r="AF858" s="294" t="s">
        <v>358</v>
      </c>
      <c r="AG858" s="294" t="s">
        <v>359</v>
      </c>
      <c r="AH858" s="294" t="s">
        <v>362</v>
      </c>
      <c r="AI858" s="301">
        <v>37543600000</v>
      </c>
    </row>
    <row r="859" spans="27:35" ht="16" customHeight="1">
      <c r="AA859" s="299">
        <v>2019</v>
      </c>
      <c r="AB859" s="299">
        <v>3680</v>
      </c>
      <c r="AC859" s="300" t="s">
        <v>252</v>
      </c>
      <c r="AD859" s="299">
        <v>755</v>
      </c>
      <c r="AE859" s="299">
        <v>111</v>
      </c>
      <c r="AF859" s="294" t="s">
        <v>358</v>
      </c>
      <c r="AG859" s="294" t="s">
        <v>363</v>
      </c>
      <c r="AH859" s="294" t="s">
        <v>364</v>
      </c>
      <c r="AI859" s="301">
        <v>218979000</v>
      </c>
    </row>
    <row r="860" spans="27:35" ht="16" customHeight="1">
      <c r="AA860" s="299">
        <v>2019</v>
      </c>
      <c r="AB860" s="299">
        <v>3680</v>
      </c>
      <c r="AC860" s="300" t="s">
        <v>252</v>
      </c>
      <c r="AD860" s="299">
        <v>755</v>
      </c>
      <c r="AE860" s="299">
        <v>112</v>
      </c>
      <c r="AF860" s="294" t="s">
        <v>358</v>
      </c>
      <c r="AG860" s="294" t="s">
        <v>363</v>
      </c>
      <c r="AH860" s="294" t="s">
        <v>365</v>
      </c>
      <c r="AI860" s="301">
        <v>0</v>
      </c>
    </row>
    <row r="861" spans="27:35" ht="16" customHeight="1">
      <c r="AA861" s="299">
        <v>2019</v>
      </c>
      <c r="AB861" s="299">
        <v>3680</v>
      </c>
      <c r="AC861" s="300" t="s">
        <v>252</v>
      </c>
      <c r="AD861" s="299">
        <v>755</v>
      </c>
      <c r="AE861" s="299">
        <v>113</v>
      </c>
      <c r="AF861" s="294" t="s">
        <v>358</v>
      </c>
      <c r="AG861" s="294" t="s">
        <v>363</v>
      </c>
      <c r="AH861" s="294" t="s">
        <v>366</v>
      </c>
      <c r="AI861" s="301">
        <v>218979000</v>
      </c>
    </row>
    <row r="862" spans="27:35" ht="16" customHeight="1">
      <c r="AA862" s="299">
        <v>2019</v>
      </c>
      <c r="AB862" s="299">
        <v>3680</v>
      </c>
      <c r="AC862" s="300" t="s">
        <v>252</v>
      </c>
      <c r="AD862" s="299">
        <v>755</v>
      </c>
      <c r="AE862" s="299">
        <v>114</v>
      </c>
      <c r="AF862" s="294" t="s">
        <v>358</v>
      </c>
      <c r="AG862" s="294" t="s">
        <v>367</v>
      </c>
      <c r="AH862" s="294" t="s">
        <v>368</v>
      </c>
      <c r="AI862" s="301">
        <v>37762579000</v>
      </c>
    </row>
    <row r="863" spans="27:35" ht="16" customHeight="1">
      <c r="AA863" s="299">
        <v>2019</v>
      </c>
      <c r="AB863" s="299">
        <v>3680</v>
      </c>
      <c r="AC863" s="300" t="s">
        <v>252</v>
      </c>
      <c r="AD863" s="299">
        <v>755</v>
      </c>
      <c r="AE863" s="299">
        <v>115</v>
      </c>
      <c r="AF863" s="294" t="s">
        <v>369</v>
      </c>
      <c r="AG863" s="294" t="s">
        <v>370</v>
      </c>
      <c r="AH863" s="294" t="s">
        <v>371</v>
      </c>
      <c r="AI863" s="301">
        <v>442137</v>
      </c>
    </row>
    <row r="864" spans="27:35" ht="16" customHeight="1">
      <c r="AA864" s="299">
        <v>2019</v>
      </c>
      <c r="AB864" s="299">
        <v>3680</v>
      </c>
      <c r="AC864" s="300" t="s">
        <v>252</v>
      </c>
      <c r="AD864" s="299">
        <v>755</v>
      </c>
      <c r="AE864" s="299">
        <v>116</v>
      </c>
      <c r="AF864" s="294" t="s">
        <v>369</v>
      </c>
      <c r="AG864" s="294" t="s">
        <v>372</v>
      </c>
      <c r="AH864" s="294" t="s">
        <v>373</v>
      </c>
      <c r="AI864" s="301">
        <v>141983</v>
      </c>
    </row>
    <row r="865" spans="27:35" ht="16" customHeight="1">
      <c r="AA865" s="299">
        <v>2019</v>
      </c>
      <c r="AB865" s="299">
        <v>3680</v>
      </c>
      <c r="AC865" s="300" t="s">
        <v>252</v>
      </c>
      <c r="AD865" s="299">
        <v>755</v>
      </c>
      <c r="AE865" s="299">
        <v>117</v>
      </c>
      <c r="AF865" s="294" t="s">
        <v>374</v>
      </c>
      <c r="AG865" s="294" t="s">
        <v>375</v>
      </c>
      <c r="AH865" s="294" t="s">
        <v>376</v>
      </c>
      <c r="AI865" s="301">
        <v>107937</v>
      </c>
    </row>
    <row r="866" spans="27:35" ht="16" customHeight="1">
      <c r="AA866" s="299">
        <v>2019</v>
      </c>
      <c r="AB866" s="299">
        <v>3680</v>
      </c>
      <c r="AC866" s="300" t="s">
        <v>252</v>
      </c>
      <c r="AD866" s="299">
        <v>755</v>
      </c>
      <c r="AE866" s="299">
        <v>118</v>
      </c>
      <c r="AF866" s="294" t="s">
        <v>417</v>
      </c>
      <c r="AG866" s="294" t="s">
        <v>418</v>
      </c>
      <c r="AH866" s="294" t="s">
        <v>419</v>
      </c>
      <c r="AI866" s="301">
        <v>60491</v>
      </c>
    </row>
    <row r="867" spans="27:35" ht="16" customHeight="1">
      <c r="AA867" s="299">
        <v>2019</v>
      </c>
      <c r="AB867" s="299">
        <v>3680</v>
      </c>
      <c r="AC867" s="300" t="s">
        <v>252</v>
      </c>
      <c r="AD867" s="299">
        <v>755</v>
      </c>
      <c r="AE867" s="299">
        <v>119</v>
      </c>
      <c r="AF867" s="294" t="s">
        <v>417</v>
      </c>
      <c r="AG867" s="294" t="s">
        <v>418</v>
      </c>
      <c r="AH867" s="294" t="s">
        <v>420</v>
      </c>
      <c r="AI867" s="301">
        <v>0</v>
      </c>
    </row>
    <row r="868" spans="27:35" ht="16" customHeight="1">
      <c r="AA868" s="299">
        <v>2019</v>
      </c>
      <c r="AB868" s="299">
        <v>3680</v>
      </c>
      <c r="AC868" s="300" t="s">
        <v>252</v>
      </c>
      <c r="AD868" s="299">
        <v>755</v>
      </c>
      <c r="AE868" s="299">
        <v>120</v>
      </c>
      <c r="AF868" s="294" t="s">
        <v>421</v>
      </c>
      <c r="AG868" s="294" t="s">
        <v>422</v>
      </c>
      <c r="AH868" s="294" t="s">
        <v>322</v>
      </c>
      <c r="AI868" s="301">
        <v>456953</v>
      </c>
    </row>
    <row r="869" spans="27:35" ht="16" customHeight="1">
      <c r="AA869" s="299">
        <v>2019</v>
      </c>
      <c r="AB869" s="299">
        <v>3680</v>
      </c>
      <c r="AC869" s="300" t="s">
        <v>252</v>
      </c>
      <c r="AD869" s="299">
        <v>755</v>
      </c>
      <c r="AE869" s="299">
        <v>121</v>
      </c>
      <c r="AF869" s="294" t="s">
        <v>421</v>
      </c>
      <c r="AG869" s="294" t="s">
        <v>422</v>
      </c>
      <c r="AH869" s="294" t="s">
        <v>323</v>
      </c>
      <c r="AI869" s="301">
        <v>774934</v>
      </c>
    </row>
    <row r="870" spans="27:35" ht="16" customHeight="1">
      <c r="AA870" s="299">
        <v>2019</v>
      </c>
      <c r="AB870" s="299">
        <v>3680</v>
      </c>
      <c r="AC870" s="300" t="s">
        <v>252</v>
      </c>
      <c r="AD870" s="299">
        <v>755</v>
      </c>
      <c r="AE870" s="299">
        <v>122</v>
      </c>
      <c r="AF870" s="294" t="s">
        <v>421</v>
      </c>
      <c r="AG870" s="294" t="s">
        <v>422</v>
      </c>
      <c r="AH870" s="294" t="s">
        <v>325</v>
      </c>
      <c r="AI870" s="301">
        <v>885889</v>
      </c>
    </row>
    <row r="871" spans="27:35" ht="16" customHeight="1">
      <c r="AA871" s="299">
        <v>2019</v>
      </c>
      <c r="AB871" s="299">
        <v>3680</v>
      </c>
      <c r="AC871" s="300" t="s">
        <v>252</v>
      </c>
      <c r="AD871" s="299">
        <v>755</v>
      </c>
      <c r="AE871" s="299">
        <v>123</v>
      </c>
      <c r="AF871" s="294" t="s">
        <v>423</v>
      </c>
      <c r="AG871" s="294" t="s">
        <v>424</v>
      </c>
      <c r="AH871" s="294" t="s">
        <v>425</v>
      </c>
      <c r="AI871" s="301">
        <v>433804</v>
      </c>
    </row>
    <row r="872" spans="27:35" ht="16" customHeight="1">
      <c r="AA872" s="299">
        <v>2019</v>
      </c>
      <c r="AB872" s="299">
        <v>3680</v>
      </c>
      <c r="AC872" s="300" t="s">
        <v>252</v>
      </c>
      <c r="AD872" s="299">
        <v>755</v>
      </c>
      <c r="AE872" s="299">
        <v>124</v>
      </c>
      <c r="AF872" s="294" t="s">
        <v>426</v>
      </c>
      <c r="AG872" s="294" t="s">
        <v>427</v>
      </c>
      <c r="AH872" s="294" t="s">
        <v>428</v>
      </c>
      <c r="AI872" s="301">
        <v>139829</v>
      </c>
    </row>
    <row r="873" spans="27:35" ht="16" customHeight="1">
      <c r="AA873" s="299">
        <v>2019</v>
      </c>
      <c r="AB873" s="299">
        <v>3680</v>
      </c>
      <c r="AC873" s="300" t="s">
        <v>252</v>
      </c>
      <c r="AD873" s="299">
        <v>755</v>
      </c>
      <c r="AE873" s="299">
        <v>125</v>
      </c>
      <c r="AF873" s="294" t="s">
        <v>429</v>
      </c>
      <c r="AG873" s="294" t="s">
        <v>430</v>
      </c>
      <c r="AH873" s="294" t="s">
        <v>431</v>
      </c>
      <c r="AI873" s="301">
        <v>0</v>
      </c>
    </row>
    <row r="874" spans="27:35" ht="16" customHeight="1">
      <c r="AA874" s="299">
        <v>2019</v>
      </c>
      <c r="AB874" s="299">
        <v>3680</v>
      </c>
      <c r="AC874" s="300" t="s">
        <v>252</v>
      </c>
      <c r="AD874" s="299">
        <v>755</v>
      </c>
      <c r="AE874" s="299">
        <v>126</v>
      </c>
      <c r="AF874" s="294" t="s">
        <v>432</v>
      </c>
      <c r="AG874" s="294" t="s">
        <v>433</v>
      </c>
      <c r="AH874" s="294" t="s">
        <v>434</v>
      </c>
      <c r="AI874" s="301">
        <v>0</v>
      </c>
    </row>
    <row r="875" spans="27:35" ht="16" customHeight="1">
      <c r="AA875" s="299">
        <v>2019</v>
      </c>
      <c r="AB875" s="299">
        <v>3680</v>
      </c>
      <c r="AC875" s="300" t="s">
        <v>252</v>
      </c>
      <c r="AD875" s="299">
        <v>755</v>
      </c>
      <c r="AE875" s="299">
        <v>127</v>
      </c>
      <c r="AF875" s="294" t="s">
        <v>432</v>
      </c>
      <c r="AG875" s="294" t="s">
        <v>433</v>
      </c>
      <c r="AH875" s="294" t="s">
        <v>435</v>
      </c>
      <c r="AI875" s="301">
        <v>0</v>
      </c>
    </row>
    <row r="876" spans="27:35" ht="16" customHeight="1">
      <c r="AA876" s="299">
        <v>2019</v>
      </c>
      <c r="AB876" s="299">
        <v>3680</v>
      </c>
      <c r="AC876" s="300" t="s">
        <v>252</v>
      </c>
      <c r="AD876" s="299">
        <v>755</v>
      </c>
      <c r="AE876" s="299">
        <v>128</v>
      </c>
      <c r="AF876" s="294" t="s">
        <v>432</v>
      </c>
      <c r="AG876" s="294" t="s">
        <v>433</v>
      </c>
      <c r="AH876" s="294" t="s">
        <v>158</v>
      </c>
      <c r="AI876" s="301">
        <v>0</v>
      </c>
    </row>
    <row r="877" spans="27:35" ht="16" customHeight="1">
      <c r="AA877" s="299">
        <v>2019</v>
      </c>
      <c r="AB877" s="299">
        <v>3680</v>
      </c>
      <c r="AC877" s="300" t="s">
        <v>252</v>
      </c>
      <c r="AD877" s="299">
        <v>755</v>
      </c>
      <c r="AE877" s="299">
        <v>129</v>
      </c>
      <c r="AF877" s="294" t="s">
        <v>432</v>
      </c>
      <c r="AG877" s="294" t="s">
        <v>433</v>
      </c>
      <c r="AH877" s="294" t="s">
        <v>436</v>
      </c>
      <c r="AI877" s="301">
        <v>0</v>
      </c>
    </row>
    <row r="878" spans="27:35" ht="16" customHeight="1">
      <c r="AA878" s="299">
        <v>2019</v>
      </c>
      <c r="AB878" s="299">
        <v>3680</v>
      </c>
      <c r="AC878" s="300" t="s">
        <v>252</v>
      </c>
      <c r="AD878" s="299">
        <v>755</v>
      </c>
      <c r="AE878" s="299">
        <v>130</v>
      </c>
      <c r="AF878" s="294" t="s">
        <v>437</v>
      </c>
      <c r="AG878" s="294" t="s">
        <v>438</v>
      </c>
      <c r="AH878" s="294" t="s">
        <v>439</v>
      </c>
      <c r="AI878" s="301">
        <v>1147</v>
      </c>
    </row>
    <row r="879" spans="27:35" ht="16" customHeight="1">
      <c r="AA879" s="299">
        <v>2019</v>
      </c>
      <c r="AB879" s="299">
        <v>3680</v>
      </c>
      <c r="AC879" s="300" t="s">
        <v>252</v>
      </c>
      <c r="AD879" s="299">
        <v>755</v>
      </c>
      <c r="AE879" s="299">
        <v>131</v>
      </c>
      <c r="AF879" s="294" t="s">
        <v>437</v>
      </c>
      <c r="AG879" s="294" t="s">
        <v>438</v>
      </c>
      <c r="AH879" s="294" t="s">
        <v>440</v>
      </c>
      <c r="AI879" s="301">
        <v>183</v>
      </c>
    </row>
    <row r="880" spans="27:35" ht="16" customHeight="1">
      <c r="AA880" s="299">
        <v>2019</v>
      </c>
      <c r="AB880" s="299">
        <v>3680</v>
      </c>
      <c r="AC880" s="300" t="s">
        <v>252</v>
      </c>
      <c r="AD880" s="299">
        <v>755</v>
      </c>
      <c r="AE880" s="299">
        <v>132</v>
      </c>
      <c r="AF880" s="294" t="s">
        <v>437</v>
      </c>
      <c r="AG880" s="294" t="s">
        <v>441</v>
      </c>
      <c r="AH880" s="294" t="s">
        <v>442</v>
      </c>
      <c r="AI880" s="301">
        <v>0</v>
      </c>
    </row>
    <row r="881" spans="27:35" ht="16" customHeight="1">
      <c r="AA881" s="299">
        <v>2019</v>
      </c>
      <c r="AB881" s="299">
        <v>3680</v>
      </c>
      <c r="AC881" s="300" t="s">
        <v>252</v>
      </c>
      <c r="AD881" s="299">
        <v>755</v>
      </c>
      <c r="AE881" s="299">
        <v>133</v>
      </c>
      <c r="AF881" s="294" t="s">
        <v>437</v>
      </c>
      <c r="AG881" s="294" t="s">
        <v>443</v>
      </c>
      <c r="AH881" s="294" t="s">
        <v>444</v>
      </c>
      <c r="AI881" s="301">
        <v>1330</v>
      </c>
    </row>
    <row r="882" spans="27:35" ht="16" customHeight="1">
      <c r="AA882" s="299">
        <v>2019</v>
      </c>
      <c r="AB882" s="299">
        <v>3680</v>
      </c>
      <c r="AC882" s="300" t="s">
        <v>252</v>
      </c>
      <c r="AD882" s="299">
        <v>755</v>
      </c>
      <c r="AE882" s="299">
        <v>134</v>
      </c>
      <c r="AF882" s="294" t="s">
        <v>445</v>
      </c>
      <c r="AG882" s="294" t="s">
        <v>446</v>
      </c>
      <c r="AH882" s="294" t="s">
        <v>447</v>
      </c>
      <c r="AI882" s="301">
        <v>501</v>
      </c>
    </row>
    <row r="883" spans="27:35" ht="16" customHeight="1">
      <c r="AA883" s="299">
        <v>2019</v>
      </c>
      <c r="AB883" s="299">
        <v>3740</v>
      </c>
      <c r="AC883" s="300" t="s">
        <v>244</v>
      </c>
      <c r="AD883" s="299">
        <v>755</v>
      </c>
      <c r="AE883" s="299">
        <v>1</v>
      </c>
      <c r="AF883" s="294" t="s">
        <v>382</v>
      </c>
      <c r="AG883" s="294" t="s">
        <v>383</v>
      </c>
      <c r="AH883" s="294" t="s">
        <v>384</v>
      </c>
      <c r="AI883" s="301">
        <v>32340</v>
      </c>
    </row>
    <row r="884" spans="27:35" ht="16" customHeight="1">
      <c r="AA884" s="299">
        <v>2019</v>
      </c>
      <c r="AB884" s="299">
        <v>3740</v>
      </c>
      <c r="AC884" s="300" t="s">
        <v>244</v>
      </c>
      <c r="AD884" s="299">
        <v>755</v>
      </c>
      <c r="AE884" s="299">
        <v>2</v>
      </c>
      <c r="AF884" s="294" t="s">
        <v>320</v>
      </c>
      <c r="AG884" s="294" t="s">
        <v>321</v>
      </c>
      <c r="AH884" s="294" t="s">
        <v>322</v>
      </c>
      <c r="AI884" s="301">
        <v>25074031</v>
      </c>
    </row>
    <row r="885" spans="27:35" ht="16" customHeight="1">
      <c r="AA885" s="299">
        <v>2019</v>
      </c>
      <c r="AB885" s="299">
        <v>3740</v>
      </c>
      <c r="AC885" s="300" t="s">
        <v>244</v>
      </c>
      <c r="AD885" s="299">
        <v>755</v>
      </c>
      <c r="AE885" s="299">
        <v>3</v>
      </c>
      <c r="AF885" s="294" t="s">
        <v>320</v>
      </c>
      <c r="AG885" s="294" t="s">
        <v>321</v>
      </c>
      <c r="AH885" s="294" t="s">
        <v>323</v>
      </c>
      <c r="AI885" s="301">
        <v>7237074</v>
      </c>
    </row>
    <row r="886" spans="27:35" ht="16" customHeight="1">
      <c r="AA886" s="299">
        <v>2019</v>
      </c>
      <c r="AB886" s="299">
        <v>3740</v>
      </c>
      <c r="AC886" s="300" t="s">
        <v>244</v>
      </c>
      <c r="AD886" s="299">
        <v>755</v>
      </c>
      <c r="AE886" s="299">
        <v>4</v>
      </c>
      <c r="AF886" s="294" t="s">
        <v>320</v>
      </c>
      <c r="AG886" s="294" t="s">
        <v>324</v>
      </c>
      <c r="AH886" s="294" t="s">
        <v>325</v>
      </c>
      <c r="AI886" s="301">
        <v>82901168</v>
      </c>
    </row>
    <row r="887" spans="27:35" ht="16" customHeight="1">
      <c r="AA887" s="299">
        <v>2019</v>
      </c>
      <c r="AB887" s="299">
        <v>3740</v>
      </c>
      <c r="AC887" s="300" t="s">
        <v>244</v>
      </c>
      <c r="AD887" s="299">
        <v>755</v>
      </c>
      <c r="AE887" s="299">
        <v>5</v>
      </c>
      <c r="AF887" s="294" t="s">
        <v>320</v>
      </c>
      <c r="AG887" s="294" t="s">
        <v>324</v>
      </c>
      <c r="AH887" s="294" t="s">
        <v>326</v>
      </c>
      <c r="AI887" s="301">
        <v>115212273</v>
      </c>
    </row>
    <row r="888" spans="27:35" ht="16" customHeight="1">
      <c r="AA888" s="299">
        <v>2019</v>
      </c>
      <c r="AB888" s="299">
        <v>3740</v>
      </c>
      <c r="AC888" s="300" t="s">
        <v>244</v>
      </c>
      <c r="AD888" s="299">
        <v>755</v>
      </c>
      <c r="AE888" s="299">
        <v>6</v>
      </c>
      <c r="AF888" s="294" t="s">
        <v>320</v>
      </c>
      <c r="AG888" s="294" t="s">
        <v>327</v>
      </c>
      <c r="AH888" s="294" t="s">
        <v>328</v>
      </c>
      <c r="AI888" s="301">
        <v>0</v>
      </c>
    </row>
    <row r="889" spans="27:35" ht="16" customHeight="1">
      <c r="AA889" s="299">
        <v>2019</v>
      </c>
      <c r="AB889" s="299">
        <v>3740</v>
      </c>
      <c r="AC889" s="300" t="s">
        <v>244</v>
      </c>
      <c r="AD889" s="299">
        <v>755</v>
      </c>
      <c r="AE889" s="299">
        <v>7</v>
      </c>
      <c r="AF889" s="294" t="s">
        <v>320</v>
      </c>
      <c r="AG889" s="294" t="s">
        <v>324</v>
      </c>
      <c r="AH889" s="294" t="s">
        <v>329</v>
      </c>
      <c r="AI889" s="301">
        <v>115212273</v>
      </c>
    </row>
    <row r="890" spans="27:35" ht="16" customHeight="1">
      <c r="AA890" s="299">
        <v>2019</v>
      </c>
      <c r="AB890" s="299">
        <v>3740</v>
      </c>
      <c r="AC890" s="300" t="s">
        <v>244</v>
      </c>
      <c r="AD890" s="299">
        <v>755</v>
      </c>
      <c r="AE890" s="299">
        <v>8</v>
      </c>
      <c r="AF890" s="294" t="s">
        <v>330</v>
      </c>
      <c r="AG890" s="294" t="s">
        <v>331</v>
      </c>
      <c r="AH890" s="294" t="s">
        <v>322</v>
      </c>
      <c r="AI890" s="301">
        <v>81299661</v>
      </c>
    </row>
    <row r="891" spans="27:35" ht="16" customHeight="1">
      <c r="AA891" s="299">
        <v>2019</v>
      </c>
      <c r="AB891" s="299">
        <v>3740</v>
      </c>
      <c r="AC891" s="300" t="s">
        <v>244</v>
      </c>
      <c r="AD891" s="299">
        <v>755</v>
      </c>
      <c r="AE891" s="299">
        <v>9</v>
      </c>
      <c r="AF891" s="294" t="s">
        <v>330</v>
      </c>
      <c r="AG891" s="294" t="s">
        <v>331</v>
      </c>
      <c r="AH891" s="294" t="s">
        <v>323</v>
      </c>
      <c r="AI891" s="301">
        <v>14769431</v>
      </c>
    </row>
    <row r="892" spans="27:35" ht="16" customHeight="1">
      <c r="AA892" s="299">
        <v>2019</v>
      </c>
      <c r="AB892" s="299">
        <v>3740</v>
      </c>
      <c r="AC892" s="300" t="s">
        <v>244</v>
      </c>
      <c r="AD892" s="299">
        <v>755</v>
      </c>
      <c r="AE892" s="299">
        <v>10</v>
      </c>
      <c r="AF892" s="294" t="s">
        <v>330</v>
      </c>
      <c r="AG892" s="294" t="s">
        <v>332</v>
      </c>
      <c r="AH892" s="294" t="s">
        <v>325</v>
      </c>
      <c r="AI892" s="301">
        <v>256659694</v>
      </c>
    </row>
    <row r="893" spans="27:35" ht="16" customHeight="1">
      <c r="AA893" s="299">
        <v>2019</v>
      </c>
      <c r="AB893" s="299">
        <v>3740</v>
      </c>
      <c r="AC893" s="300" t="s">
        <v>244</v>
      </c>
      <c r="AD893" s="299">
        <v>755</v>
      </c>
      <c r="AE893" s="299">
        <v>11</v>
      </c>
      <c r="AF893" s="294" t="s">
        <v>330</v>
      </c>
      <c r="AG893" s="294" t="s">
        <v>332</v>
      </c>
      <c r="AH893" s="294" t="s">
        <v>333</v>
      </c>
      <c r="AI893" s="301">
        <v>352728786</v>
      </c>
    </row>
    <row r="894" spans="27:35" ht="16" customHeight="1">
      <c r="AA894" s="299">
        <v>2019</v>
      </c>
      <c r="AB894" s="299">
        <v>3740</v>
      </c>
      <c r="AC894" s="300" t="s">
        <v>244</v>
      </c>
      <c r="AD894" s="299">
        <v>755</v>
      </c>
      <c r="AE894" s="299">
        <v>12</v>
      </c>
      <c r="AF894" s="294" t="s">
        <v>330</v>
      </c>
      <c r="AG894" s="294" t="s">
        <v>334</v>
      </c>
      <c r="AH894" s="294" t="s">
        <v>335</v>
      </c>
      <c r="AI894" s="301">
        <v>8554649</v>
      </c>
    </row>
    <row r="895" spans="27:35" ht="16" customHeight="1">
      <c r="AA895" s="299">
        <v>2019</v>
      </c>
      <c r="AB895" s="299">
        <v>3740</v>
      </c>
      <c r="AC895" s="300" t="s">
        <v>244</v>
      </c>
      <c r="AD895" s="299">
        <v>755</v>
      </c>
      <c r="AE895" s="299">
        <v>13</v>
      </c>
      <c r="AF895" s="294" t="s">
        <v>330</v>
      </c>
      <c r="AG895" s="294" t="s">
        <v>336</v>
      </c>
      <c r="AH895" s="294" t="s">
        <v>308</v>
      </c>
      <c r="AI895" s="301">
        <v>24883450</v>
      </c>
    </row>
    <row r="896" spans="27:35" ht="16" customHeight="1">
      <c r="AA896" s="299">
        <v>2019</v>
      </c>
      <c r="AB896" s="299">
        <v>3740</v>
      </c>
      <c r="AC896" s="300" t="s">
        <v>244</v>
      </c>
      <c r="AD896" s="299">
        <v>755</v>
      </c>
      <c r="AE896" s="299">
        <v>14</v>
      </c>
      <c r="AF896" s="294" t="s">
        <v>330</v>
      </c>
      <c r="AG896" s="294" t="s">
        <v>337</v>
      </c>
      <c r="AH896" s="294" t="s">
        <v>338</v>
      </c>
      <c r="AI896" s="301">
        <v>386166885</v>
      </c>
    </row>
    <row r="897" spans="27:35" ht="16" customHeight="1">
      <c r="AA897" s="299">
        <v>2019</v>
      </c>
      <c r="AB897" s="299">
        <v>3740</v>
      </c>
      <c r="AC897" s="300" t="s">
        <v>244</v>
      </c>
      <c r="AD897" s="299">
        <v>755</v>
      </c>
      <c r="AE897" s="299">
        <v>15</v>
      </c>
      <c r="AF897" s="294" t="s">
        <v>385</v>
      </c>
      <c r="AG897" s="294" t="s">
        <v>386</v>
      </c>
      <c r="AH897" s="294" t="s">
        <v>387</v>
      </c>
      <c r="AI897" s="301">
        <v>0</v>
      </c>
    </row>
    <row r="898" spans="27:35" ht="16" customHeight="1">
      <c r="AA898" s="299">
        <v>2019</v>
      </c>
      <c r="AB898" s="299">
        <v>3740</v>
      </c>
      <c r="AC898" s="300" t="s">
        <v>244</v>
      </c>
      <c r="AD898" s="299">
        <v>755</v>
      </c>
      <c r="AE898" s="299">
        <v>16</v>
      </c>
      <c r="AF898" s="294" t="s">
        <v>385</v>
      </c>
      <c r="AG898" s="294" t="s">
        <v>386</v>
      </c>
      <c r="AH898" s="294" t="s">
        <v>388</v>
      </c>
      <c r="AI898" s="301">
        <v>14774000</v>
      </c>
    </row>
    <row r="899" spans="27:35" ht="16" customHeight="1">
      <c r="AA899" s="299">
        <v>2019</v>
      </c>
      <c r="AB899" s="299">
        <v>3740</v>
      </c>
      <c r="AC899" s="300" t="s">
        <v>244</v>
      </c>
      <c r="AD899" s="299">
        <v>755</v>
      </c>
      <c r="AE899" s="299">
        <v>17</v>
      </c>
      <c r="AF899" s="294" t="s">
        <v>385</v>
      </c>
      <c r="AG899" s="294" t="s">
        <v>386</v>
      </c>
      <c r="AH899" s="294" t="s">
        <v>389</v>
      </c>
      <c r="AI899" s="301">
        <v>190431000</v>
      </c>
    </row>
    <row r="900" spans="27:35" ht="16" customHeight="1">
      <c r="AA900" s="299">
        <v>2019</v>
      </c>
      <c r="AB900" s="299">
        <v>3740</v>
      </c>
      <c r="AC900" s="300" t="s">
        <v>244</v>
      </c>
      <c r="AD900" s="299">
        <v>755</v>
      </c>
      <c r="AE900" s="299">
        <v>18</v>
      </c>
      <c r="AF900" s="294" t="s">
        <v>385</v>
      </c>
      <c r="AG900" s="294" t="s">
        <v>386</v>
      </c>
      <c r="AH900" s="294" t="s">
        <v>390</v>
      </c>
      <c r="AI900" s="301">
        <v>65785000</v>
      </c>
    </row>
    <row r="901" spans="27:35" ht="16" customHeight="1">
      <c r="AA901" s="299">
        <v>2019</v>
      </c>
      <c r="AB901" s="299">
        <v>3740</v>
      </c>
      <c r="AC901" s="300" t="s">
        <v>244</v>
      </c>
      <c r="AD901" s="299">
        <v>755</v>
      </c>
      <c r="AE901" s="299">
        <v>19</v>
      </c>
      <c r="AF901" s="294" t="s">
        <v>385</v>
      </c>
      <c r="AG901" s="294" t="s">
        <v>386</v>
      </c>
      <c r="AH901" s="294" t="s">
        <v>391</v>
      </c>
      <c r="AI901" s="301">
        <v>71357000</v>
      </c>
    </row>
    <row r="902" spans="27:35" ht="16" customHeight="1">
      <c r="AA902" s="299">
        <v>2019</v>
      </c>
      <c r="AB902" s="299">
        <v>3740</v>
      </c>
      <c r="AC902" s="300" t="s">
        <v>244</v>
      </c>
      <c r="AD902" s="299">
        <v>755</v>
      </c>
      <c r="AE902" s="299">
        <v>20</v>
      </c>
      <c r="AF902" s="294" t="s">
        <v>385</v>
      </c>
      <c r="AG902" s="294" t="s">
        <v>386</v>
      </c>
      <c r="AH902" s="294" t="s">
        <v>392</v>
      </c>
      <c r="AI902" s="301">
        <v>356162000</v>
      </c>
    </row>
    <row r="903" spans="27:35" ht="16" customHeight="1">
      <c r="AA903" s="299">
        <v>2019</v>
      </c>
      <c r="AB903" s="299">
        <v>3740</v>
      </c>
      <c r="AC903" s="300" t="s">
        <v>244</v>
      </c>
      <c r="AD903" s="299">
        <v>755</v>
      </c>
      <c r="AE903" s="299">
        <v>21</v>
      </c>
      <c r="AF903" s="294" t="s">
        <v>385</v>
      </c>
      <c r="AG903" s="294" t="s">
        <v>386</v>
      </c>
      <c r="AH903" s="294" t="s">
        <v>393</v>
      </c>
      <c r="AI903" s="301">
        <v>55802000</v>
      </c>
    </row>
    <row r="904" spans="27:35" ht="16" customHeight="1">
      <c r="AA904" s="299">
        <v>2019</v>
      </c>
      <c r="AB904" s="299">
        <v>3740</v>
      </c>
      <c r="AC904" s="300" t="s">
        <v>244</v>
      </c>
      <c r="AD904" s="299">
        <v>755</v>
      </c>
      <c r="AE904" s="299">
        <v>22</v>
      </c>
      <c r="AF904" s="294" t="s">
        <v>385</v>
      </c>
      <c r="AG904" s="294" t="s">
        <v>386</v>
      </c>
      <c r="AH904" s="294" t="s">
        <v>394</v>
      </c>
      <c r="AI904" s="301">
        <v>40655000</v>
      </c>
    </row>
    <row r="905" spans="27:35" ht="16" customHeight="1">
      <c r="AA905" s="299">
        <v>2019</v>
      </c>
      <c r="AB905" s="299">
        <v>3740</v>
      </c>
      <c r="AC905" s="300" t="s">
        <v>244</v>
      </c>
      <c r="AD905" s="299">
        <v>755</v>
      </c>
      <c r="AE905" s="299">
        <v>23</v>
      </c>
      <c r="AF905" s="294" t="s">
        <v>385</v>
      </c>
      <c r="AG905" s="294" t="s">
        <v>386</v>
      </c>
      <c r="AH905" s="294" t="s">
        <v>395</v>
      </c>
      <c r="AI905" s="301">
        <v>52722000</v>
      </c>
    </row>
    <row r="906" spans="27:35" ht="16" customHeight="1">
      <c r="AA906" s="299">
        <v>2019</v>
      </c>
      <c r="AB906" s="299">
        <v>3740</v>
      </c>
      <c r="AC906" s="300" t="s">
        <v>244</v>
      </c>
      <c r="AD906" s="299">
        <v>755</v>
      </c>
      <c r="AE906" s="299">
        <v>24</v>
      </c>
      <c r="AF906" s="294" t="s">
        <v>385</v>
      </c>
      <c r="AG906" s="294" t="s">
        <v>386</v>
      </c>
      <c r="AH906" s="294" t="s">
        <v>396</v>
      </c>
      <c r="AI906" s="301">
        <v>8478000</v>
      </c>
    </row>
    <row r="907" spans="27:35" ht="16" customHeight="1">
      <c r="AA907" s="299">
        <v>2019</v>
      </c>
      <c r="AB907" s="299">
        <v>3740</v>
      </c>
      <c r="AC907" s="300" t="s">
        <v>244</v>
      </c>
      <c r="AD907" s="299">
        <v>755</v>
      </c>
      <c r="AE907" s="299">
        <v>25</v>
      </c>
      <c r="AF907" s="294" t="s">
        <v>385</v>
      </c>
      <c r="AG907" s="294" t="s">
        <v>386</v>
      </c>
      <c r="AH907" s="294" t="s">
        <v>397</v>
      </c>
      <c r="AI907" s="301">
        <v>268380000</v>
      </c>
    </row>
    <row r="908" spans="27:35" ht="16" customHeight="1">
      <c r="AA908" s="299">
        <v>2019</v>
      </c>
      <c r="AB908" s="299">
        <v>3740</v>
      </c>
      <c r="AC908" s="300" t="s">
        <v>244</v>
      </c>
      <c r="AD908" s="299">
        <v>755</v>
      </c>
      <c r="AE908" s="299">
        <v>26</v>
      </c>
      <c r="AF908" s="294" t="s">
        <v>385</v>
      </c>
      <c r="AG908" s="294" t="s">
        <v>386</v>
      </c>
      <c r="AH908" s="294" t="s">
        <v>398</v>
      </c>
      <c r="AI908" s="301">
        <v>78449000</v>
      </c>
    </row>
    <row r="909" spans="27:35" ht="16" customHeight="1">
      <c r="AA909" s="299">
        <v>2019</v>
      </c>
      <c r="AB909" s="299">
        <v>3740</v>
      </c>
      <c r="AC909" s="300" t="s">
        <v>244</v>
      </c>
      <c r="AD909" s="299">
        <v>755</v>
      </c>
      <c r="AE909" s="299">
        <v>27</v>
      </c>
      <c r="AF909" s="294" t="s">
        <v>385</v>
      </c>
      <c r="AG909" s="294" t="s">
        <v>386</v>
      </c>
      <c r="AH909" s="294" t="s">
        <v>399</v>
      </c>
      <c r="AI909" s="301">
        <v>213000</v>
      </c>
    </row>
    <row r="910" spans="27:35" ht="16" customHeight="1">
      <c r="AA910" s="299">
        <v>2019</v>
      </c>
      <c r="AB910" s="299">
        <v>3740</v>
      </c>
      <c r="AC910" s="300" t="s">
        <v>244</v>
      </c>
      <c r="AD910" s="299">
        <v>755</v>
      </c>
      <c r="AE910" s="299">
        <v>28</v>
      </c>
      <c r="AF910" s="294" t="s">
        <v>385</v>
      </c>
      <c r="AG910" s="294" t="s">
        <v>386</v>
      </c>
      <c r="AH910" s="294" t="s">
        <v>400</v>
      </c>
      <c r="AI910" s="301">
        <v>77014000</v>
      </c>
    </row>
    <row r="911" spans="27:35" ht="16" customHeight="1">
      <c r="AA911" s="299">
        <v>2019</v>
      </c>
      <c r="AB911" s="299">
        <v>3740</v>
      </c>
      <c r="AC911" s="300" t="s">
        <v>244</v>
      </c>
      <c r="AD911" s="299">
        <v>755</v>
      </c>
      <c r="AE911" s="299">
        <v>29</v>
      </c>
      <c r="AF911" s="294" t="s">
        <v>385</v>
      </c>
      <c r="AG911" s="294" t="s">
        <v>401</v>
      </c>
      <c r="AH911" s="294" t="s">
        <v>402</v>
      </c>
      <c r="AI911" s="301">
        <v>799000</v>
      </c>
    </row>
    <row r="912" spans="27:35" ht="16" customHeight="1">
      <c r="AA912" s="299">
        <v>2019</v>
      </c>
      <c r="AB912" s="299">
        <v>3740</v>
      </c>
      <c r="AC912" s="300" t="s">
        <v>244</v>
      </c>
      <c r="AD912" s="299">
        <v>755</v>
      </c>
      <c r="AE912" s="299">
        <v>30</v>
      </c>
      <c r="AF912" s="294" t="s">
        <v>385</v>
      </c>
      <c r="AG912" s="294" t="s">
        <v>401</v>
      </c>
      <c r="AH912" s="294" t="s">
        <v>403</v>
      </c>
      <c r="AI912" s="301">
        <v>1281021000</v>
      </c>
    </row>
    <row r="913" spans="27:35" ht="16" customHeight="1">
      <c r="AA913" s="299">
        <v>2019</v>
      </c>
      <c r="AB913" s="299">
        <v>3740</v>
      </c>
      <c r="AC913" s="300" t="s">
        <v>244</v>
      </c>
      <c r="AD913" s="299">
        <v>755</v>
      </c>
      <c r="AE913" s="299">
        <v>31</v>
      </c>
      <c r="AF913" s="294" t="s">
        <v>385</v>
      </c>
      <c r="AG913" s="294" t="s">
        <v>404</v>
      </c>
      <c r="AH913" s="294" t="s">
        <v>387</v>
      </c>
      <c r="AI913" s="301">
        <v>0</v>
      </c>
    </row>
    <row r="914" spans="27:35" ht="16" customHeight="1">
      <c r="AA914" s="299">
        <v>2019</v>
      </c>
      <c r="AB914" s="299">
        <v>3740</v>
      </c>
      <c r="AC914" s="300" t="s">
        <v>244</v>
      </c>
      <c r="AD914" s="299">
        <v>755</v>
      </c>
      <c r="AE914" s="299">
        <v>32</v>
      </c>
      <c r="AF914" s="294" t="s">
        <v>385</v>
      </c>
      <c r="AG914" s="294" t="s">
        <v>404</v>
      </c>
      <c r="AH914" s="294" t="s">
        <v>388</v>
      </c>
      <c r="AI914" s="301">
        <v>12178000</v>
      </c>
    </row>
    <row r="915" spans="27:35" ht="16" customHeight="1">
      <c r="AA915" s="299">
        <v>2019</v>
      </c>
      <c r="AB915" s="299">
        <v>3740</v>
      </c>
      <c r="AC915" s="300" t="s">
        <v>244</v>
      </c>
      <c r="AD915" s="299">
        <v>755</v>
      </c>
      <c r="AE915" s="299">
        <v>33</v>
      </c>
      <c r="AF915" s="294" t="s">
        <v>385</v>
      </c>
      <c r="AG915" s="294" t="s">
        <v>404</v>
      </c>
      <c r="AH915" s="294" t="s">
        <v>389</v>
      </c>
      <c r="AI915" s="301">
        <v>134180000</v>
      </c>
    </row>
    <row r="916" spans="27:35" ht="16" customHeight="1">
      <c r="AA916" s="299">
        <v>2019</v>
      </c>
      <c r="AB916" s="299">
        <v>3740</v>
      </c>
      <c r="AC916" s="300" t="s">
        <v>244</v>
      </c>
      <c r="AD916" s="299">
        <v>755</v>
      </c>
      <c r="AE916" s="299">
        <v>34</v>
      </c>
      <c r="AF916" s="294" t="s">
        <v>385</v>
      </c>
      <c r="AG916" s="294" t="s">
        <v>404</v>
      </c>
      <c r="AH916" s="294" t="s">
        <v>390</v>
      </c>
      <c r="AI916" s="301">
        <v>67146000</v>
      </c>
    </row>
    <row r="917" spans="27:35" ht="16" customHeight="1">
      <c r="AA917" s="299">
        <v>2019</v>
      </c>
      <c r="AB917" s="299">
        <v>3740</v>
      </c>
      <c r="AC917" s="300" t="s">
        <v>244</v>
      </c>
      <c r="AD917" s="299">
        <v>755</v>
      </c>
      <c r="AE917" s="299">
        <v>35</v>
      </c>
      <c r="AF917" s="294" t="s">
        <v>385</v>
      </c>
      <c r="AG917" s="294" t="s">
        <v>404</v>
      </c>
      <c r="AH917" s="294" t="s">
        <v>391</v>
      </c>
      <c r="AI917" s="301">
        <v>74814000</v>
      </c>
    </row>
    <row r="918" spans="27:35" ht="16" customHeight="1">
      <c r="AA918" s="299">
        <v>2019</v>
      </c>
      <c r="AB918" s="299">
        <v>3740</v>
      </c>
      <c r="AC918" s="300" t="s">
        <v>244</v>
      </c>
      <c r="AD918" s="299">
        <v>755</v>
      </c>
      <c r="AE918" s="299">
        <v>36</v>
      </c>
      <c r="AF918" s="294" t="s">
        <v>385</v>
      </c>
      <c r="AG918" s="294" t="s">
        <v>404</v>
      </c>
      <c r="AH918" s="294" t="s">
        <v>392</v>
      </c>
      <c r="AI918" s="301">
        <v>382569000</v>
      </c>
    </row>
    <row r="919" spans="27:35" ht="16" customHeight="1">
      <c r="AA919" s="299">
        <v>2019</v>
      </c>
      <c r="AB919" s="299">
        <v>3740</v>
      </c>
      <c r="AC919" s="300" t="s">
        <v>244</v>
      </c>
      <c r="AD919" s="299">
        <v>755</v>
      </c>
      <c r="AE919" s="299">
        <v>37</v>
      </c>
      <c r="AF919" s="294" t="s">
        <v>385</v>
      </c>
      <c r="AG919" s="294" t="s">
        <v>404</v>
      </c>
      <c r="AH919" s="294" t="s">
        <v>393</v>
      </c>
      <c r="AI919" s="301">
        <v>59186000</v>
      </c>
    </row>
    <row r="920" spans="27:35" ht="16" customHeight="1">
      <c r="AA920" s="299">
        <v>2019</v>
      </c>
      <c r="AB920" s="299">
        <v>3740</v>
      </c>
      <c r="AC920" s="300" t="s">
        <v>244</v>
      </c>
      <c r="AD920" s="299">
        <v>755</v>
      </c>
      <c r="AE920" s="299">
        <v>38</v>
      </c>
      <c r="AF920" s="294" t="s">
        <v>385</v>
      </c>
      <c r="AG920" s="294" t="s">
        <v>404</v>
      </c>
      <c r="AH920" s="294" t="s">
        <v>394</v>
      </c>
      <c r="AI920" s="301">
        <v>42721000</v>
      </c>
    </row>
    <row r="921" spans="27:35" ht="16" customHeight="1">
      <c r="AA921" s="299">
        <v>2019</v>
      </c>
      <c r="AB921" s="299">
        <v>3740</v>
      </c>
      <c r="AC921" s="300" t="s">
        <v>244</v>
      </c>
      <c r="AD921" s="299">
        <v>755</v>
      </c>
      <c r="AE921" s="299">
        <v>39</v>
      </c>
      <c r="AF921" s="294" t="s">
        <v>385</v>
      </c>
      <c r="AG921" s="294" t="s">
        <v>404</v>
      </c>
      <c r="AH921" s="294" t="s">
        <v>395</v>
      </c>
      <c r="AI921" s="301">
        <v>50660000</v>
      </c>
    </row>
    <row r="922" spans="27:35" ht="16" customHeight="1">
      <c r="AA922" s="299">
        <v>2019</v>
      </c>
      <c r="AB922" s="299">
        <v>3740</v>
      </c>
      <c r="AC922" s="300" t="s">
        <v>244</v>
      </c>
      <c r="AD922" s="299">
        <v>755</v>
      </c>
      <c r="AE922" s="299">
        <v>40</v>
      </c>
      <c r="AF922" s="294" t="s">
        <v>385</v>
      </c>
      <c r="AG922" s="294" t="s">
        <v>404</v>
      </c>
      <c r="AH922" s="294" t="s">
        <v>396</v>
      </c>
      <c r="AI922" s="301">
        <v>10539000</v>
      </c>
    </row>
    <row r="923" spans="27:35" ht="16" customHeight="1">
      <c r="AA923" s="299">
        <v>2019</v>
      </c>
      <c r="AB923" s="299">
        <v>3740</v>
      </c>
      <c r="AC923" s="300" t="s">
        <v>244</v>
      </c>
      <c r="AD923" s="299">
        <v>755</v>
      </c>
      <c r="AE923" s="299">
        <v>41</v>
      </c>
      <c r="AF923" s="294" t="s">
        <v>385</v>
      </c>
      <c r="AG923" s="294" t="s">
        <v>404</v>
      </c>
      <c r="AH923" s="294" t="s">
        <v>397</v>
      </c>
      <c r="AI923" s="301">
        <v>9492000</v>
      </c>
    </row>
    <row r="924" spans="27:35" ht="16" customHeight="1">
      <c r="AA924" s="299">
        <v>2019</v>
      </c>
      <c r="AB924" s="299">
        <v>3740</v>
      </c>
      <c r="AC924" s="300" t="s">
        <v>244</v>
      </c>
      <c r="AD924" s="299">
        <v>755</v>
      </c>
      <c r="AE924" s="299">
        <v>42</v>
      </c>
      <c r="AF924" s="294" t="s">
        <v>385</v>
      </c>
      <c r="AG924" s="294" t="s">
        <v>404</v>
      </c>
      <c r="AH924" s="294" t="s">
        <v>398</v>
      </c>
      <c r="AI924" s="301">
        <v>30826000</v>
      </c>
    </row>
    <row r="925" spans="27:35" ht="16" customHeight="1">
      <c r="AA925" s="299">
        <v>2019</v>
      </c>
      <c r="AB925" s="299">
        <v>3740</v>
      </c>
      <c r="AC925" s="300" t="s">
        <v>244</v>
      </c>
      <c r="AD925" s="299">
        <v>755</v>
      </c>
      <c r="AE925" s="299">
        <v>43</v>
      </c>
      <c r="AF925" s="294" t="s">
        <v>385</v>
      </c>
      <c r="AG925" s="294" t="s">
        <v>404</v>
      </c>
      <c r="AH925" s="294" t="s">
        <v>399</v>
      </c>
      <c r="AI925" s="301">
        <v>203000</v>
      </c>
    </row>
    <row r="926" spans="27:35" ht="16" customHeight="1">
      <c r="AA926" s="299">
        <v>2019</v>
      </c>
      <c r="AB926" s="299">
        <v>3740</v>
      </c>
      <c r="AC926" s="300" t="s">
        <v>244</v>
      </c>
      <c r="AD926" s="299">
        <v>755</v>
      </c>
      <c r="AE926" s="299">
        <v>44</v>
      </c>
      <c r="AF926" s="294" t="s">
        <v>385</v>
      </c>
      <c r="AG926" s="294" t="s">
        <v>404</v>
      </c>
      <c r="AH926" s="294" t="s">
        <v>400</v>
      </c>
      <c r="AI926" s="301">
        <v>75629000</v>
      </c>
    </row>
    <row r="927" spans="27:35" ht="16" customHeight="1">
      <c r="AA927" s="299">
        <v>2019</v>
      </c>
      <c r="AB927" s="299">
        <v>3740</v>
      </c>
      <c r="AC927" s="300" t="s">
        <v>244</v>
      </c>
      <c r="AD927" s="299">
        <v>755</v>
      </c>
      <c r="AE927" s="299">
        <v>45</v>
      </c>
      <c r="AF927" s="294" t="s">
        <v>385</v>
      </c>
      <c r="AG927" s="294" t="s">
        <v>405</v>
      </c>
      <c r="AH927" s="294" t="s">
        <v>402</v>
      </c>
      <c r="AI927" s="301">
        <v>381000</v>
      </c>
    </row>
    <row r="928" spans="27:35" ht="16" customHeight="1">
      <c r="AA928" s="299">
        <v>2019</v>
      </c>
      <c r="AB928" s="299">
        <v>3740</v>
      </c>
      <c r="AC928" s="300" t="s">
        <v>244</v>
      </c>
      <c r="AD928" s="299">
        <v>755</v>
      </c>
      <c r="AE928" s="299">
        <v>46</v>
      </c>
      <c r="AF928" s="294" t="s">
        <v>385</v>
      </c>
      <c r="AG928" s="294" t="s">
        <v>405</v>
      </c>
      <c r="AH928" s="294" t="s">
        <v>406</v>
      </c>
      <c r="AI928" s="301">
        <v>950524000</v>
      </c>
    </row>
    <row r="929" spans="27:35" ht="16" customHeight="1">
      <c r="AA929" s="299">
        <v>2019</v>
      </c>
      <c r="AB929" s="299">
        <v>3740</v>
      </c>
      <c r="AC929" s="300" t="s">
        <v>244</v>
      </c>
      <c r="AD929" s="299">
        <v>755</v>
      </c>
      <c r="AE929" s="299">
        <v>47</v>
      </c>
      <c r="AF929" s="294" t="s">
        <v>385</v>
      </c>
      <c r="AG929" s="294" t="s">
        <v>407</v>
      </c>
      <c r="AH929" s="294" t="s">
        <v>387</v>
      </c>
      <c r="AI929" s="301">
        <v>0</v>
      </c>
    </row>
    <row r="930" spans="27:35" ht="16" customHeight="1">
      <c r="AA930" s="299">
        <v>2019</v>
      </c>
      <c r="AB930" s="299">
        <v>3740</v>
      </c>
      <c r="AC930" s="300" t="s">
        <v>244</v>
      </c>
      <c r="AD930" s="299">
        <v>755</v>
      </c>
      <c r="AE930" s="299">
        <v>48</v>
      </c>
      <c r="AF930" s="294" t="s">
        <v>385</v>
      </c>
      <c r="AG930" s="294" t="s">
        <v>407</v>
      </c>
      <c r="AH930" s="294" t="s">
        <v>388</v>
      </c>
      <c r="AI930" s="301">
        <v>39649000</v>
      </c>
    </row>
    <row r="931" spans="27:35" ht="16" customHeight="1">
      <c r="AA931" s="299">
        <v>2019</v>
      </c>
      <c r="AB931" s="299">
        <v>3740</v>
      </c>
      <c r="AC931" s="300" t="s">
        <v>244</v>
      </c>
      <c r="AD931" s="299">
        <v>755</v>
      </c>
      <c r="AE931" s="299">
        <v>49</v>
      </c>
      <c r="AF931" s="294" t="s">
        <v>385</v>
      </c>
      <c r="AG931" s="294" t="s">
        <v>407</v>
      </c>
      <c r="AH931" s="294" t="s">
        <v>389</v>
      </c>
      <c r="AI931" s="301">
        <v>110180000</v>
      </c>
    </row>
    <row r="932" spans="27:35" ht="16" customHeight="1">
      <c r="AA932" s="299">
        <v>2019</v>
      </c>
      <c r="AB932" s="299">
        <v>3740</v>
      </c>
      <c r="AC932" s="300" t="s">
        <v>244</v>
      </c>
      <c r="AD932" s="299">
        <v>755</v>
      </c>
      <c r="AE932" s="299">
        <v>50</v>
      </c>
      <c r="AF932" s="294" t="s">
        <v>385</v>
      </c>
      <c r="AG932" s="294" t="s">
        <v>407</v>
      </c>
      <c r="AH932" s="294" t="s">
        <v>390</v>
      </c>
      <c r="AI932" s="301">
        <v>586425000</v>
      </c>
    </row>
    <row r="933" spans="27:35" ht="16" customHeight="1">
      <c r="AA933" s="299">
        <v>2019</v>
      </c>
      <c r="AB933" s="299">
        <v>3740</v>
      </c>
      <c r="AC933" s="300" t="s">
        <v>244</v>
      </c>
      <c r="AD933" s="299">
        <v>755</v>
      </c>
      <c r="AE933" s="299">
        <v>51</v>
      </c>
      <c r="AF933" s="294" t="s">
        <v>385</v>
      </c>
      <c r="AG933" s="294" t="s">
        <v>407</v>
      </c>
      <c r="AH933" s="294" t="s">
        <v>391</v>
      </c>
      <c r="AI933" s="301">
        <v>31042000</v>
      </c>
    </row>
    <row r="934" spans="27:35" ht="16" customHeight="1">
      <c r="AA934" s="299">
        <v>2019</v>
      </c>
      <c r="AB934" s="299">
        <v>3740</v>
      </c>
      <c r="AC934" s="300" t="s">
        <v>244</v>
      </c>
      <c r="AD934" s="299">
        <v>755</v>
      </c>
      <c r="AE934" s="299">
        <v>52</v>
      </c>
      <c r="AF934" s="294" t="s">
        <v>385</v>
      </c>
      <c r="AG934" s="294" t="s">
        <v>407</v>
      </c>
      <c r="AH934" s="294" t="s">
        <v>392</v>
      </c>
      <c r="AI934" s="301">
        <v>826700000</v>
      </c>
    </row>
    <row r="935" spans="27:35" ht="16" customHeight="1">
      <c r="AA935" s="299">
        <v>2019</v>
      </c>
      <c r="AB935" s="299">
        <v>3740</v>
      </c>
      <c r="AC935" s="300" t="s">
        <v>244</v>
      </c>
      <c r="AD935" s="299">
        <v>755</v>
      </c>
      <c r="AE935" s="299">
        <v>53</v>
      </c>
      <c r="AF935" s="294" t="s">
        <v>385</v>
      </c>
      <c r="AG935" s="294" t="s">
        <v>407</v>
      </c>
      <c r="AH935" s="294" t="s">
        <v>393</v>
      </c>
      <c r="AI935" s="301">
        <v>17219000</v>
      </c>
    </row>
    <row r="936" spans="27:35" ht="16" customHeight="1">
      <c r="AA936" s="299">
        <v>2019</v>
      </c>
      <c r="AB936" s="299">
        <v>3740</v>
      </c>
      <c r="AC936" s="300" t="s">
        <v>244</v>
      </c>
      <c r="AD936" s="299">
        <v>755</v>
      </c>
      <c r="AE936" s="299">
        <v>54</v>
      </c>
      <c r="AF936" s="294" t="s">
        <v>385</v>
      </c>
      <c r="AG936" s="294" t="s">
        <v>407</v>
      </c>
      <c r="AH936" s="294" t="s">
        <v>394</v>
      </c>
      <c r="AI936" s="301">
        <v>204458000</v>
      </c>
    </row>
    <row r="937" spans="27:35" ht="16" customHeight="1">
      <c r="AA937" s="299">
        <v>2019</v>
      </c>
      <c r="AB937" s="299">
        <v>3740</v>
      </c>
      <c r="AC937" s="300" t="s">
        <v>244</v>
      </c>
      <c r="AD937" s="299">
        <v>755</v>
      </c>
      <c r="AE937" s="299">
        <v>55</v>
      </c>
      <c r="AF937" s="294" t="s">
        <v>385</v>
      </c>
      <c r="AG937" s="294" t="s">
        <v>407</v>
      </c>
      <c r="AH937" s="294" t="s">
        <v>395</v>
      </c>
      <c r="AI937" s="301">
        <v>18779000</v>
      </c>
    </row>
    <row r="938" spans="27:35" ht="16" customHeight="1">
      <c r="AA938" s="299">
        <v>2019</v>
      </c>
      <c r="AB938" s="299">
        <v>3740</v>
      </c>
      <c r="AC938" s="300" t="s">
        <v>244</v>
      </c>
      <c r="AD938" s="299">
        <v>755</v>
      </c>
      <c r="AE938" s="299">
        <v>56</v>
      </c>
      <c r="AF938" s="294" t="s">
        <v>385</v>
      </c>
      <c r="AG938" s="294" t="s">
        <v>407</v>
      </c>
      <c r="AH938" s="294" t="s">
        <v>396</v>
      </c>
      <c r="AI938" s="301">
        <v>6536000</v>
      </c>
    </row>
    <row r="939" spans="27:35" ht="16" customHeight="1">
      <c r="AA939" s="299">
        <v>2019</v>
      </c>
      <c r="AB939" s="299">
        <v>3740</v>
      </c>
      <c r="AC939" s="300" t="s">
        <v>244</v>
      </c>
      <c r="AD939" s="299">
        <v>755</v>
      </c>
      <c r="AE939" s="299">
        <v>57</v>
      </c>
      <c r="AF939" s="294" t="s">
        <v>385</v>
      </c>
      <c r="AG939" s="294" t="s">
        <v>407</v>
      </c>
      <c r="AH939" s="294" t="s">
        <v>397</v>
      </c>
      <c r="AI939" s="301">
        <v>1098714000</v>
      </c>
    </row>
    <row r="940" spans="27:35" ht="16" customHeight="1">
      <c r="AA940" s="299">
        <v>2019</v>
      </c>
      <c r="AB940" s="299">
        <v>3740</v>
      </c>
      <c r="AC940" s="300" t="s">
        <v>244</v>
      </c>
      <c r="AD940" s="299">
        <v>755</v>
      </c>
      <c r="AE940" s="299">
        <v>58</v>
      </c>
      <c r="AF940" s="294" t="s">
        <v>385</v>
      </c>
      <c r="AG940" s="294" t="s">
        <v>407</v>
      </c>
      <c r="AH940" s="294" t="s">
        <v>398</v>
      </c>
      <c r="AI940" s="301">
        <v>469066000</v>
      </c>
    </row>
    <row r="941" spans="27:35" ht="16" customHeight="1">
      <c r="AA941" s="299">
        <v>2019</v>
      </c>
      <c r="AB941" s="299">
        <v>3740</v>
      </c>
      <c r="AC941" s="300" t="s">
        <v>244</v>
      </c>
      <c r="AD941" s="299">
        <v>755</v>
      </c>
      <c r="AE941" s="299">
        <v>59</v>
      </c>
      <c r="AF941" s="294" t="s">
        <v>385</v>
      </c>
      <c r="AG941" s="294" t="s">
        <v>407</v>
      </c>
      <c r="AH941" s="294" t="s">
        <v>399</v>
      </c>
      <c r="AI941" s="301">
        <v>162000</v>
      </c>
    </row>
    <row r="942" spans="27:35" ht="16" customHeight="1">
      <c r="AA942" s="299">
        <v>2019</v>
      </c>
      <c r="AB942" s="299">
        <v>3740</v>
      </c>
      <c r="AC942" s="300" t="s">
        <v>244</v>
      </c>
      <c r="AD942" s="299">
        <v>755</v>
      </c>
      <c r="AE942" s="299">
        <v>60</v>
      </c>
      <c r="AF942" s="294" t="s">
        <v>385</v>
      </c>
      <c r="AG942" s="294" t="s">
        <v>407</v>
      </c>
      <c r="AH942" s="294" t="s">
        <v>400</v>
      </c>
      <c r="AI942" s="301">
        <v>137062000</v>
      </c>
    </row>
    <row r="943" spans="27:35" ht="16" customHeight="1">
      <c r="AA943" s="299">
        <v>2019</v>
      </c>
      <c r="AB943" s="299">
        <v>3740</v>
      </c>
      <c r="AC943" s="300" t="s">
        <v>244</v>
      </c>
      <c r="AD943" s="299">
        <v>755</v>
      </c>
      <c r="AE943" s="299">
        <v>61</v>
      </c>
      <c r="AF943" s="294" t="s">
        <v>385</v>
      </c>
      <c r="AG943" s="294" t="s">
        <v>407</v>
      </c>
      <c r="AH943" s="294" t="s">
        <v>408</v>
      </c>
      <c r="AI943" s="301">
        <v>162613000</v>
      </c>
    </row>
    <row r="944" spans="27:35" ht="16" customHeight="1">
      <c r="AA944" s="299">
        <v>2019</v>
      </c>
      <c r="AB944" s="299">
        <v>3740</v>
      </c>
      <c r="AC944" s="300" t="s">
        <v>244</v>
      </c>
      <c r="AD944" s="299">
        <v>755</v>
      </c>
      <c r="AE944" s="299">
        <v>62</v>
      </c>
      <c r="AF944" s="294" t="s">
        <v>385</v>
      </c>
      <c r="AG944" s="294" t="s">
        <v>407</v>
      </c>
      <c r="AH944" s="294" t="s">
        <v>409</v>
      </c>
      <c r="AI944" s="301">
        <v>627122000</v>
      </c>
    </row>
    <row r="945" spans="27:35" ht="16" customHeight="1">
      <c r="AA945" s="299">
        <v>2019</v>
      </c>
      <c r="AB945" s="299">
        <v>3740</v>
      </c>
      <c r="AC945" s="300" t="s">
        <v>244</v>
      </c>
      <c r="AD945" s="299">
        <v>755</v>
      </c>
      <c r="AE945" s="299">
        <v>63</v>
      </c>
      <c r="AF945" s="294" t="s">
        <v>385</v>
      </c>
      <c r="AG945" s="294" t="s">
        <v>410</v>
      </c>
      <c r="AH945" s="294" t="s">
        <v>402</v>
      </c>
      <c r="AI945" s="301">
        <v>3110000</v>
      </c>
    </row>
    <row r="946" spans="27:35" ht="16" customHeight="1">
      <c r="AA946" s="299">
        <v>2019</v>
      </c>
      <c r="AB946" s="299">
        <v>3740</v>
      </c>
      <c r="AC946" s="300" t="s">
        <v>244</v>
      </c>
      <c r="AD946" s="299">
        <v>755</v>
      </c>
      <c r="AE946" s="299">
        <v>64</v>
      </c>
      <c r="AF946" s="294" t="s">
        <v>385</v>
      </c>
      <c r="AG946" s="294" t="s">
        <v>410</v>
      </c>
      <c r="AH946" s="294" t="s">
        <v>411</v>
      </c>
      <c r="AI946" s="301">
        <v>4338837000</v>
      </c>
    </row>
    <row r="947" spans="27:35" ht="16" customHeight="1">
      <c r="AA947" s="299">
        <v>2019</v>
      </c>
      <c r="AB947" s="299">
        <v>3740</v>
      </c>
      <c r="AC947" s="300" t="s">
        <v>244</v>
      </c>
      <c r="AD947" s="299">
        <v>755</v>
      </c>
      <c r="AE947" s="299">
        <v>65</v>
      </c>
      <c r="AF947" s="294" t="s">
        <v>385</v>
      </c>
      <c r="AG947" s="294" t="s">
        <v>412</v>
      </c>
      <c r="AH947" s="294" t="s">
        <v>387</v>
      </c>
      <c r="AI947" s="301">
        <v>0</v>
      </c>
    </row>
    <row r="948" spans="27:35" ht="16" customHeight="1">
      <c r="AA948" s="299">
        <v>2019</v>
      </c>
      <c r="AB948" s="299">
        <v>3740</v>
      </c>
      <c r="AC948" s="300" t="s">
        <v>244</v>
      </c>
      <c r="AD948" s="299">
        <v>755</v>
      </c>
      <c r="AE948" s="299">
        <v>66</v>
      </c>
      <c r="AF948" s="294" t="s">
        <v>385</v>
      </c>
      <c r="AG948" s="294" t="s">
        <v>412</v>
      </c>
      <c r="AH948" s="294" t="s">
        <v>388</v>
      </c>
      <c r="AI948" s="301">
        <v>31557000</v>
      </c>
    </row>
    <row r="949" spans="27:35" ht="16" customHeight="1">
      <c r="AA949" s="299">
        <v>2019</v>
      </c>
      <c r="AB949" s="299">
        <v>3740</v>
      </c>
      <c r="AC949" s="300" t="s">
        <v>244</v>
      </c>
      <c r="AD949" s="299">
        <v>755</v>
      </c>
      <c r="AE949" s="299">
        <v>67</v>
      </c>
      <c r="AF949" s="294" t="s">
        <v>385</v>
      </c>
      <c r="AG949" s="294" t="s">
        <v>412</v>
      </c>
      <c r="AH949" s="294" t="s">
        <v>389</v>
      </c>
      <c r="AI949" s="301">
        <v>67321000</v>
      </c>
    </row>
    <row r="950" spans="27:35" ht="16" customHeight="1">
      <c r="AA950" s="299">
        <v>2019</v>
      </c>
      <c r="AB950" s="299">
        <v>3740</v>
      </c>
      <c r="AC950" s="300" t="s">
        <v>244</v>
      </c>
      <c r="AD950" s="299">
        <v>755</v>
      </c>
      <c r="AE950" s="299">
        <v>68</v>
      </c>
      <c r="AF950" s="294" t="s">
        <v>385</v>
      </c>
      <c r="AG950" s="294" t="s">
        <v>412</v>
      </c>
      <c r="AH950" s="294" t="s">
        <v>390</v>
      </c>
      <c r="AI950" s="301">
        <v>580953000</v>
      </c>
    </row>
    <row r="951" spans="27:35" ht="16" customHeight="1">
      <c r="AA951" s="299">
        <v>2019</v>
      </c>
      <c r="AB951" s="299">
        <v>3740</v>
      </c>
      <c r="AC951" s="300" t="s">
        <v>244</v>
      </c>
      <c r="AD951" s="299">
        <v>755</v>
      </c>
      <c r="AE951" s="299">
        <v>69</v>
      </c>
      <c r="AF951" s="294" t="s">
        <v>385</v>
      </c>
      <c r="AG951" s="294" t="s">
        <v>412</v>
      </c>
      <c r="AH951" s="294" t="s">
        <v>391</v>
      </c>
      <c r="AI951" s="301">
        <v>29807000</v>
      </c>
    </row>
    <row r="952" spans="27:35" ht="16" customHeight="1">
      <c r="AA952" s="299">
        <v>2019</v>
      </c>
      <c r="AB952" s="299">
        <v>3740</v>
      </c>
      <c r="AC952" s="300" t="s">
        <v>244</v>
      </c>
      <c r="AD952" s="299">
        <v>755</v>
      </c>
      <c r="AE952" s="299">
        <v>70</v>
      </c>
      <c r="AF952" s="294" t="s">
        <v>385</v>
      </c>
      <c r="AG952" s="294" t="s">
        <v>412</v>
      </c>
      <c r="AH952" s="294" t="s">
        <v>392</v>
      </c>
      <c r="AI952" s="301">
        <v>803819000</v>
      </c>
    </row>
    <row r="953" spans="27:35" ht="16" customHeight="1">
      <c r="AA953" s="299">
        <v>2019</v>
      </c>
      <c r="AB953" s="299">
        <v>3740</v>
      </c>
      <c r="AC953" s="300" t="s">
        <v>244</v>
      </c>
      <c r="AD953" s="299">
        <v>755</v>
      </c>
      <c r="AE953" s="299">
        <v>71</v>
      </c>
      <c r="AF953" s="294" t="s">
        <v>385</v>
      </c>
      <c r="AG953" s="294" t="s">
        <v>412</v>
      </c>
      <c r="AH953" s="294" t="s">
        <v>393</v>
      </c>
      <c r="AI953" s="301">
        <v>16481000</v>
      </c>
    </row>
    <row r="954" spans="27:35" ht="16" customHeight="1">
      <c r="AA954" s="299">
        <v>2019</v>
      </c>
      <c r="AB954" s="299">
        <v>3740</v>
      </c>
      <c r="AC954" s="300" t="s">
        <v>244</v>
      </c>
      <c r="AD954" s="299">
        <v>755</v>
      </c>
      <c r="AE954" s="299">
        <v>72</v>
      </c>
      <c r="AF954" s="294" t="s">
        <v>385</v>
      </c>
      <c r="AG954" s="294" t="s">
        <v>412</v>
      </c>
      <c r="AH954" s="294" t="s">
        <v>394</v>
      </c>
      <c r="AI954" s="301">
        <v>200921000</v>
      </c>
    </row>
    <row r="955" spans="27:35" ht="16" customHeight="1">
      <c r="AA955" s="299">
        <v>2019</v>
      </c>
      <c r="AB955" s="299">
        <v>3740</v>
      </c>
      <c r="AC955" s="300" t="s">
        <v>244</v>
      </c>
      <c r="AD955" s="299">
        <v>755</v>
      </c>
      <c r="AE955" s="299">
        <v>73</v>
      </c>
      <c r="AF955" s="294" t="s">
        <v>385</v>
      </c>
      <c r="AG955" s="294" t="s">
        <v>412</v>
      </c>
      <c r="AH955" s="294" t="s">
        <v>395</v>
      </c>
      <c r="AI955" s="301">
        <v>15525000</v>
      </c>
    </row>
    <row r="956" spans="27:35" ht="16" customHeight="1">
      <c r="AA956" s="299">
        <v>2019</v>
      </c>
      <c r="AB956" s="299">
        <v>3740</v>
      </c>
      <c r="AC956" s="300" t="s">
        <v>244</v>
      </c>
      <c r="AD956" s="299">
        <v>755</v>
      </c>
      <c r="AE956" s="299">
        <v>74</v>
      </c>
      <c r="AF956" s="294" t="s">
        <v>385</v>
      </c>
      <c r="AG956" s="294" t="s">
        <v>412</v>
      </c>
      <c r="AH956" s="294" t="s">
        <v>396</v>
      </c>
      <c r="AI956" s="301">
        <v>6509000</v>
      </c>
    </row>
    <row r="957" spans="27:35" ht="16" customHeight="1">
      <c r="AA957" s="299">
        <v>2019</v>
      </c>
      <c r="AB957" s="299">
        <v>3740</v>
      </c>
      <c r="AC957" s="300" t="s">
        <v>244</v>
      </c>
      <c r="AD957" s="299">
        <v>755</v>
      </c>
      <c r="AE957" s="299">
        <v>75</v>
      </c>
      <c r="AF957" s="294" t="s">
        <v>385</v>
      </c>
      <c r="AG957" s="294" t="s">
        <v>412</v>
      </c>
      <c r="AH957" s="294" t="s">
        <v>397</v>
      </c>
      <c r="AI957" s="301">
        <v>39330000</v>
      </c>
    </row>
    <row r="958" spans="27:35" ht="16" customHeight="1">
      <c r="AA958" s="299">
        <v>2019</v>
      </c>
      <c r="AB958" s="299">
        <v>3740</v>
      </c>
      <c r="AC958" s="300" t="s">
        <v>244</v>
      </c>
      <c r="AD958" s="299">
        <v>755</v>
      </c>
      <c r="AE958" s="299">
        <v>76</v>
      </c>
      <c r="AF958" s="294" t="s">
        <v>385</v>
      </c>
      <c r="AG958" s="294" t="s">
        <v>412</v>
      </c>
      <c r="AH958" s="294" t="s">
        <v>398</v>
      </c>
      <c r="AI958" s="301">
        <v>176713000</v>
      </c>
    </row>
    <row r="959" spans="27:35" ht="16" customHeight="1">
      <c r="AA959" s="299">
        <v>2019</v>
      </c>
      <c r="AB959" s="299">
        <v>3740</v>
      </c>
      <c r="AC959" s="300" t="s">
        <v>244</v>
      </c>
      <c r="AD959" s="299">
        <v>755</v>
      </c>
      <c r="AE959" s="299">
        <v>77</v>
      </c>
      <c r="AF959" s="294" t="s">
        <v>385</v>
      </c>
      <c r="AG959" s="294" t="s">
        <v>412</v>
      </c>
      <c r="AH959" s="294" t="s">
        <v>399</v>
      </c>
      <c r="AI959" s="301">
        <v>153000</v>
      </c>
    </row>
    <row r="960" spans="27:35" ht="16" customHeight="1">
      <c r="AA960" s="299">
        <v>2019</v>
      </c>
      <c r="AB960" s="299">
        <v>3740</v>
      </c>
      <c r="AC960" s="300" t="s">
        <v>244</v>
      </c>
      <c r="AD960" s="299">
        <v>755</v>
      </c>
      <c r="AE960" s="299">
        <v>78</v>
      </c>
      <c r="AF960" s="294" t="s">
        <v>385</v>
      </c>
      <c r="AG960" s="294" t="s">
        <v>412</v>
      </c>
      <c r="AH960" s="294" t="s">
        <v>400</v>
      </c>
      <c r="AI960" s="301">
        <v>128841000</v>
      </c>
    </row>
    <row r="961" spans="27:35" ht="16" customHeight="1">
      <c r="AA961" s="299">
        <v>2019</v>
      </c>
      <c r="AB961" s="299">
        <v>3740</v>
      </c>
      <c r="AC961" s="300" t="s">
        <v>244</v>
      </c>
      <c r="AD961" s="299">
        <v>755</v>
      </c>
      <c r="AE961" s="299">
        <v>79</v>
      </c>
      <c r="AF961" s="294" t="s">
        <v>385</v>
      </c>
      <c r="AG961" s="294" t="s">
        <v>412</v>
      </c>
      <c r="AH961" s="294" t="s">
        <v>408</v>
      </c>
      <c r="AI961" s="301">
        <v>166959000</v>
      </c>
    </row>
    <row r="962" spans="27:35" ht="16" customHeight="1">
      <c r="AA962" s="299">
        <v>2019</v>
      </c>
      <c r="AB962" s="299">
        <v>3740</v>
      </c>
      <c r="AC962" s="300" t="s">
        <v>244</v>
      </c>
      <c r="AD962" s="299">
        <v>755</v>
      </c>
      <c r="AE962" s="299">
        <v>80</v>
      </c>
      <c r="AF962" s="294" t="s">
        <v>385</v>
      </c>
      <c r="AG962" s="294" t="s">
        <v>412</v>
      </c>
      <c r="AH962" s="294" t="s">
        <v>409</v>
      </c>
      <c r="AI962" s="301">
        <v>638887000</v>
      </c>
    </row>
    <row r="963" spans="27:35" ht="16" customHeight="1">
      <c r="AA963" s="299">
        <v>2019</v>
      </c>
      <c r="AB963" s="299">
        <v>3740</v>
      </c>
      <c r="AC963" s="300" t="s">
        <v>244</v>
      </c>
      <c r="AD963" s="299">
        <v>755</v>
      </c>
      <c r="AE963" s="299">
        <v>81</v>
      </c>
      <c r="AF963" s="294" t="s">
        <v>385</v>
      </c>
      <c r="AG963" s="294" t="s">
        <v>413</v>
      </c>
      <c r="AH963" s="294" t="s">
        <v>402</v>
      </c>
      <c r="AI963" s="301">
        <v>890000</v>
      </c>
    </row>
    <row r="964" spans="27:35" ht="16" customHeight="1">
      <c r="AA964" s="299">
        <v>2019</v>
      </c>
      <c r="AB964" s="299">
        <v>3740</v>
      </c>
      <c r="AC964" s="300" t="s">
        <v>244</v>
      </c>
      <c r="AD964" s="299">
        <v>755</v>
      </c>
      <c r="AE964" s="299">
        <v>82</v>
      </c>
      <c r="AF964" s="294" t="s">
        <v>385</v>
      </c>
      <c r="AG964" s="294" t="s">
        <v>413</v>
      </c>
      <c r="AH964" s="294" t="s">
        <v>414</v>
      </c>
      <c r="AI964" s="301">
        <v>2904666000</v>
      </c>
    </row>
    <row r="965" spans="27:35" ht="16" customHeight="1">
      <c r="AA965" s="299">
        <v>2019</v>
      </c>
      <c r="AB965" s="299">
        <v>3740</v>
      </c>
      <c r="AC965" s="300" t="s">
        <v>244</v>
      </c>
      <c r="AD965" s="299">
        <v>755</v>
      </c>
      <c r="AE965" s="299">
        <v>83</v>
      </c>
      <c r="AF965" s="294" t="s">
        <v>377</v>
      </c>
      <c r="AG965" s="294" t="s">
        <v>378</v>
      </c>
      <c r="AH965" s="294" t="s">
        <v>415</v>
      </c>
      <c r="AI965" s="301">
        <v>128705000</v>
      </c>
    </row>
    <row r="966" spans="27:35" ht="16" customHeight="1">
      <c r="AA966" s="299">
        <v>2019</v>
      </c>
      <c r="AB966" s="299">
        <v>3740</v>
      </c>
      <c r="AC966" s="300" t="s">
        <v>244</v>
      </c>
      <c r="AD966" s="299">
        <v>755</v>
      </c>
      <c r="AE966" s="299">
        <v>84</v>
      </c>
      <c r="AF966" s="294" t="s">
        <v>377</v>
      </c>
      <c r="AG966" s="294" t="s">
        <v>378</v>
      </c>
      <c r="AH966" s="294" t="s">
        <v>416</v>
      </c>
      <c r="AI966" s="301">
        <v>0</v>
      </c>
    </row>
    <row r="967" spans="27:35" ht="16" customHeight="1">
      <c r="AA967" s="299">
        <v>2019</v>
      </c>
      <c r="AB967" s="299">
        <v>3740</v>
      </c>
      <c r="AC967" s="300" t="s">
        <v>244</v>
      </c>
      <c r="AD967" s="299">
        <v>755</v>
      </c>
      <c r="AE967" s="299">
        <v>85</v>
      </c>
      <c r="AF967" s="294" t="s">
        <v>339</v>
      </c>
      <c r="AG967" s="294" t="s">
        <v>340</v>
      </c>
      <c r="AH967" s="294" t="s">
        <v>322</v>
      </c>
      <c r="AI967" s="301">
        <v>2970181000</v>
      </c>
    </row>
    <row r="968" spans="27:35" ht="16" customHeight="1">
      <c r="AA968" s="299">
        <v>2019</v>
      </c>
      <c r="AB968" s="299">
        <v>3740</v>
      </c>
      <c r="AC968" s="300" t="s">
        <v>244</v>
      </c>
      <c r="AD968" s="299">
        <v>755</v>
      </c>
      <c r="AE968" s="299">
        <v>86</v>
      </c>
      <c r="AF968" s="294" t="s">
        <v>339</v>
      </c>
      <c r="AG968" s="294" t="s">
        <v>340</v>
      </c>
      <c r="AH968" s="294" t="s">
        <v>323</v>
      </c>
      <c r="AI968" s="301">
        <v>208912000</v>
      </c>
    </row>
    <row r="969" spans="27:35" ht="16" customHeight="1">
      <c r="AA969" s="299">
        <v>2019</v>
      </c>
      <c r="AB969" s="299">
        <v>3740</v>
      </c>
      <c r="AC969" s="300" t="s">
        <v>244</v>
      </c>
      <c r="AD969" s="299">
        <v>755</v>
      </c>
      <c r="AE969" s="299">
        <v>87</v>
      </c>
      <c r="AF969" s="294" t="s">
        <v>339</v>
      </c>
      <c r="AG969" s="294" t="s">
        <v>341</v>
      </c>
      <c r="AH969" s="294" t="s">
        <v>325</v>
      </c>
      <c r="AI969" s="301">
        <v>6424660000</v>
      </c>
    </row>
    <row r="970" spans="27:35" ht="16" customHeight="1">
      <c r="AA970" s="299">
        <v>2019</v>
      </c>
      <c r="AB970" s="299">
        <v>3740</v>
      </c>
      <c r="AC970" s="300" t="s">
        <v>244</v>
      </c>
      <c r="AD970" s="299">
        <v>755</v>
      </c>
      <c r="AE970" s="299">
        <v>88</v>
      </c>
      <c r="AF970" s="294" t="s">
        <v>339</v>
      </c>
      <c r="AG970" s="294" t="s">
        <v>341</v>
      </c>
      <c r="AH970" s="294" t="s">
        <v>342</v>
      </c>
      <c r="AI970" s="301">
        <v>9603753000</v>
      </c>
    </row>
    <row r="971" spans="27:35" ht="16" customHeight="1">
      <c r="AA971" s="299">
        <v>2019</v>
      </c>
      <c r="AB971" s="299">
        <v>3740</v>
      </c>
      <c r="AC971" s="300" t="s">
        <v>244</v>
      </c>
      <c r="AD971" s="299">
        <v>755</v>
      </c>
      <c r="AE971" s="299">
        <v>89</v>
      </c>
      <c r="AF971" s="294" t="s">
        <v>377</v>
      </c>
      <c r="AG971" s="294" t="s">
        <v>378</v>
      </c>
      <c r="AH971" s="294" t="s">
        <v>379</v>
      </c>
      <c r="AI971" s="301">
        <v>11000</v>
      </c>
    </row>
    <row r="972" spans="27:35" ht="16" customHeight="1">
      <c r="AA972" s="299">
        <v>2019</v>
      </c>
      <c r="AB972" s="299">
        <v>3740</v>
      </c>
      <c r="AC972" s="300" t="s">
        <v>244</v>
      </c>
      <c r="AD972" s="299">
        <v>755</v>
      </c>
      <c r="AE972" s="299">
        <v>98</v>
      </c>
      <c r="AF972" s="294" t="s">
        <v>343</v>
      </c>
      <c r="AG972" s="294" t="s">
        <v>380</v>
      </c>
      <c r="AH972" s="294" t="s">
        <v>381</v>
      </c>
      <c r="AI972" s="301">
        <v>72880060000</v>
      </c>
    </row>
    <row r="973" spans="27:35" ht="16" customHeight="1">
      <c r="AA973" s="299">
        <v>2019</v>
      </c>
      <c r="AB973" s="299">
        <v>3740</v>
      </c>
      <c r="AC973" s="300" t="s">
        <v>244</v>
      </c>
      <c r="AD973" s="299">
        <v>755</v>
      </c>
      <c r="AE973" s="299">
        <v>99</v>
      </c>
      <c r="AF973" s="294" t="s">
        <v>343</v>
      </c>
      <c r="AG973" s="294" t="s">
        <v>344</v>
      </c>
      <c r="AH973" s="294" t="s">
        <v>322</v>
      </c>
      <c r="AI973" s="301">
        <v>248707812000</v>
      </c>
    </row>
    <row r="974" spans="27:35" ht="16" customHeight="1">
      <c r="AA974" s="299">
        <v>2019</v>
      </c>
      <c r="AB974" s="299">
        <v>3740</v>
      </c>
      <c r="AC974" s="300" t="s">
        <v>244</v>
      </c>
      <c r="AD974" s="299">
        <v>755</v>
      </c>
      <c r="AE974" s="299">
        <v>100</v>
      </c>
      <c r="AF974" s="294" t="s">
        <v>343</v>
      </c>
      <c r="AG974" s="294" t="s">
        <v>344</v>
      </c>
      <c r="AH974" s="294" t="s">
        <v>323</v>
      </c>
      <c r="AI974" s="301">
        <v>16191415000</v>
      </c>
    </row>
    <row r="975" spans="27:35" ht="16" customHeight="1">
      <c r="AA975" s="299">
        <v>2019</v>
      </c>
      <c r="AB975" s="299">
        <v>3740</v>
      </c>
      <c r="AC975" s="300" t="s">
        <v>244</v>
      </c>
      <c r="AD975" s="299">
        <v>755</v>
      </c>
      <c r="AE975" s="299">
        <v>101</v>
      </c>
      <c r="AF975" s="294" t="s">
        <v>343</v>
      </c>
      <c r="AG975" s="294" t="s">
        <v>344</v>
      </c>
      <c r="AH975" s="294" t="s">
        <v>325</v>
      </c>
      <c r="AI975" s="301">
        <v>571309960000</v>
      </c>
    </row>
    <row r="976" spans="27:35" ht="16" customHeight="1">
      <c r="AA976" s="299">
        <v>2019</v>
      </c>
      <c r="AB976" s="299">
        <v>3740</v>
      </c>
      <c r="AC976" s="300" t="s">
        <v>244</v>
      </c>
      <c r="AD976" s="299">
        <v>755</v>
      </c>
      <c r="AE976" s="299">
        <v>102</v>
      </c>
      <c r="AF976" s="294" t="s">
        <v>343</v>
      </c>
      <c r="AG976" s="294" t="s">
        <v>345</v>
      </c>
      <c r="AH976" s="294" t="s">
        <v>346</v>
      </c>
      <c r="AI976" s="301">
        <v>0</v>
      </c>
    </row>
    <row r="977" spans="27:35" ht="16" customHeight="1">
      <c r="AA977" s="299">
        <v>2019</v>
      </c>
      <c r="AB977" s="299">
        <v>3740</v>
      </c>
      <c r="AC977" s="300" t="s">
        <v>244</v>
      </c>
      <c r="AD977" s="299">
        <v>755</v>
      </c>
      <c r="AE977" s="299">
        <v>103</v>
      </c>
      <c r="AF977" s="294" t="s">
        <v>343</v>
      </c>
      <c r="AG977" s="294" t="s">
        <v>347</v>
      </c>
      <c r="AH977" s="294" t="s">
        <v>348</v>
      </c>
      <c r="AI977" s="301">
        <v>10406772000</v>
      </c>
    </row>
    <row r="978" spans="27:35" ht="16" customHeight="1">
      <c r="AA978" s="299">
        <v>2019</v>
      </c>
      <c r="AB978" s="299">
        <v>3740</v>
      </c>
      <c r="AC978" s="300" t="s">
        <v>244</v>
      </c>
      <c r="AD978" s="299">
        <v>755</v>
      </c>
      <c r="AE978" s="299">
        <v>104</v>
      </c>
      <c r="AF978" s="294" t="s">
        <v>343</v>
      </c>
      <c r="AG978" s="294" t="s">
        <v>349</v>
      </c>
      <c r="AH978" s="294" t="s">
        <v>350</v>
      </c>
      <c r="AI978" s="301">
        <v>919496019000</v>
      </c>
    </row>
    <row r="979" spans="27:35" ht="16" customHeight="1">
      <c r="AA979" s="299">
        <v>2019</v>
      </c>
      <c r="AB979" s="299">
        <v>3740</v>
      </c>
      <c r="AC979" s="300" t="s">
        <v>244</v>
      </c>
      <c r="AD979" s="299">
        <v>755</v>
      </c>
      <c r="AE979" s="299">
        <v>105</v>
      </c>
      <c r="AF979" s="294" t="s">
        <v>351</v>
      </c>
      <c r="AG979" s="294" t="s">
        <v>352</v>
      </c>
      <c r="AH979" s="294" t="s">
        <v>353</v>
      </c>
      <c r="AI979" s="301">
        <v>466709000</v>
      </c>
    </row>
    <row r="980" spans="27:35" ht="16" customHeight="1">
      <c r="AA980" s="299">
        <v>2019</v>
      </c>
      <c r="AB980" s="299">
        <v>3740</v>
      </c>
      <c r="AC980" s="300" t="s">
        <v>244</v>
      </c>
      <c r="AD980" s="299">
        <v>755</v>
      </c>
      <c r="AE980" s="299">
        <v>106</v>
      </c>
      <c r="AF980" s="294" t="s">
        <v>351</v>
      </c>
      <c r="AG980" s="294" t="s">
        <v>354</v>
      </c>
      <c r="AH980" s="294" t="s">
        <v>355</v>
      </c>
      <c r="AI980" s="301">
        <v>9929000</v>
      </c>
    </row>
    <row r="981" spans="27:35" ht="16" customHeight="1">
      <c r="AA981" s="299">
        <v>2019</v>
      </c>
      <c r="AB981" s="299">
        <v>3740</v>
      </c>
      <c r="AC981" s="300" t="s">
        <v>244</v>
      </c>
      <c r="AD981" s="299">
        <v>755</v>
      </c>
      <c r="AE981" s="299">
        <v>107</v>
      </c>
      <c r="AF981" s="294" t="s">
        <v>351</v>
      </c>
      <c r="AG981" s="294" t="s">
        <v>356</v>
      </c>
      <c r="AH981" s="294" t="s">
        <v>357</v>
      </c>
      <c r="AI981" s="301">
        <v>476638000</v>
      </c>
    </row>
    <row r="982" spans="27:35" ht="16" customHeight="1">
      <c r="AA982" s="299">
        <v>2019</v>
      </c>
      <c r="AB982" s="299">
        <v>3740</v>
      </c>
      <c r="AC982" s="300" t="s">
        <v>244</v>
      </c>
      <c r="AD982" s="299">
        <v>755</v>
      </c>
      <c r="AE982" s="299">
        <v>108</v>
      </c>
      <c r="AF982" s="294" t="s">
        <v>358</v>
      </c>
      <c r="AG982" s="294" t="s">
        <v>359</v>
      </c>
      <c r="AH982" s="294" t="s">
        <v>360</v>
      </c>
      <c r="AI982" s="301">
        <v>423433322000</v>
      </c>
    </row>
    <row r="983" spans="27:35" ht="16" customHeight="1">
      <c r="AA983" s="299">
        <v>2019</v>
      </c>
      <c r="AB983" s="299">
        <v>3740</v>
      </c>
      <c r="AC983" s="300" t="s">
        <v>244</v>
      </c>
      <c r="AD983" s="299">
        <v>755</v>
      </c>
      <c r="AE983" s="299">
        <v>109</v>
      </c>
      <c r="AF983" s="294" t="s">
        <v>358</v>
      </c>
      <c r="AG983" s="294" t="s">
        <v>359</v>
      </c>
      <c r="AH983" s="294" t="s">
        <v>361</v>
      </c>
      <c r="AI983" s="301">
        <v>0</v>
      </c>
    </row>
    <row r="984" spans="27:35" ht="16" customHeight="1">
      <c r="AA984" s="299">
        <v>2019</v>
      </c>
      <c r="AB984" s="299">
        <v>3740</v>
      </c>
      <c r="AC984" s="300" t="s">
        <v>244</v>
      </c>
      <c r="AD984" s="299">
        <v>755</v>
      </c>
      <c r="AE984" s="299">
        <v>110</v>
      </c>
      <c r="AF984" s="294" t="s">
        <v>358</v>
      </c>
      <c r="AG984" s="294" t="s">
        <v>359</v>
      </c>
      <c r="AH984" s="294" t="s">
        <v>362</v>
      </c>
      <c r="AI984" s="301">
        <v>423433322000</v>
      </c>
    </row>
    <row r="985" spans="27:35" ht="16" customHeight="1">
      <c r="AA985" s="299">
        <v>2019</v>
      </c>
      <c r="AB985" s="299">
        <v>3740</v>
      </c>
      <c r="AC985" s="300" t="s">
        <v>244</v>
      </c>
      <c r="AD985" s="299">
        <v>755</v>
      </c>
      <c r="AE985" s="299">
        <v>111</v>
      </c>
      <c r="AF985" s="294" t="s">
        <v>358</v>
      </c>
      <c r="AG985" s="294" t="s">
        <v>363</v>
      </c>
      <c r="AH985" s="294" t="s">
        <v>364</v>
      </c>
      <c r="AI985" s="301">
        <v>5100649000</v>
      </c>
    </row>
    <row r="986" spans="27:35" ht="16" customHeight="1">
      <c r="AA986" s="299">
        <v>2019</v>
      </c>
      <c r="AB986" s="299">
        <v>3740</v>
      </c>
      <c r="AC986" s="300" t="s">
        <v>244</v>
      </c>
      <c r="AD986" s="299">
        <v>755</v>
      </c>
      <c r="AE986" s="299">
        <v>112</v>
      </c>
      <c r="AF986" s="294" t="s">
        <v>358</v>
      </c>
      <c r="AG986" s="294" t="s">
        <v>363</v>
      </c>
      <c r="AH986" s="294" t="s">
        <v>365</v>
      </c>
      <c r="AI986" s="301">
        <v>0</v>
      </c>
    </row>
    <row r="987" spans="27:35" ht="16" customHeight="1">
      <c r="AA987" s="299">
        <v>2019</v>
      </c>
      <c r="AB987" s="299">
        <v>3740</v>
      </c>
      <c r="AC987" s="300" t="s">
        <v>244</v>
      </c>
      <c r="AD987" s="299">
        <v>755</v>
      </c>
      <c r="AE987" s="299">
        <v>113</v>
      </c>
      <c r="AF987" s="294" t="s">
        <v>358</v>
      </c>
      <c r="AG987" s="294" t="s">
        <v>363</v>
      </c>
      <c r="AH987" s="294" t="s">
        <v>366</v>
      </c>
      <c r="AI987" s="301">
        <v>5100649000</v>
      </c>
    </row>
    <row r="988" spans="27:35" ht="16" customHeight="1">
      <c r="AA988" s="299">
        <v>2019</v>
      </c>
      <c r="AB988" s="299">
        <v>3740</v>
      </c>
      <c r="AC988" s="300" t="s">
        <v>244</v>
      </c>
      <c r="AD988" s="299">
        <v>755</v>
      </c>
      <c r="AE988" s="299">
        <v>114</v>
      </c>
      <c r="AF988" s="294" t="s">
        <v>358</v>
      </c>
      <c r="AG988" s="294" t="s">
        <v>367</v>
      </c>
      <c r="AH988" s="294" t="s">
        <v>368</v>
      </c>
      <c r="AI988" s="301">
        <v>428533971000</v>
      </c>
    </row>
    <row r="989" spans="27:35" ht="16" customHeight="1">
      <c r="AA989" s="299">
        <v>2019</v>
      </c>
      <c r="AB989" s="299">
        <v>3740</v>
      </c>
      <c r="AC989" s="300" t="s">
        <v>244</v>
      </c>
      <c r="AD989" s="299">
        <v>755</v>
      </c>
      <c r="AE989" s="299">
        <v>115</v>
      </c>
      <c r="AF989" s="294" t="s">
        <v>369</v>
      </c>
      <c r="AG989" s="294" t="s">
        <v>370</v>
      </c>
      <c r="AH989" s="294" t="s">
        <v>371</v>
      </c>
      <c r="AI989" s="301">
        <v>5636126</v>
      </c>
    </row>
    <row r="990" spans="27:35" ht="16" customHeight="1">
      <c r="AA990" s="299">
        <v>2019</v>
      </c>
      <c r="AB990" s="299">
        <v>3740</v>
      </c>
      <c r="AC990" s="300" t="s">
        <v>244</v>
      </c>
      <c r="AD990" s="299">
        <v>755</v>
      </c>
      <c r="AE990" s="299">
        <v>116</v>
      </c>
      <c r="AF990" s="294" t="s">
        <v>369</v>
      </c>
      <c r="AG990" s="294" t="s">
        <v>372</v>
      </c>
      <c r="AH990" s="294" t="s">
        <v>373</v>
      </c>
      <c r="AI990" s="301">
        <v>723370</v>
      </c>
    </row>
    <row r="991" spans="27:35" ht="16" customHeight="1">
      <c r="AA991" s="299">
        <v>2019</v>
      </c>
      <c r="AB991" s="299">
        <v>3740</v>
      </c>
      <c r="AC991" s="300" t="s">
        <v>244</v>
      </c>
      <c r="AD991" s="299">
        <v>755</v>
      </c>
      <c r="AE991" s="299">
        <v>117</v>
      </c>
      <c r="AF991" s="294" t="s">
        <v>374</v>
      </c>
      <c r="AG991" s="294" t="s">
        <v>375</v>
      </c>
      <c r="AH991" s="294" t="s">
        <v>376</v>
      </c>
      <c r="AI991" s="301">
        <v>2174014</v>
      </c>
    </row>
    <row r="992" spans="27:35" ht="16" customHeight="1">
      <c r="AA992" s="299">
        <v>2019</v>
      </c>
      <c r="AB992" s="299">
        <v>3740</v>
      </c>
      <c r="AC992" s="300" t="s">
        <v>244</v>
      </c>
      <c r="AD992" s="299">
        <v>755</v>
      </c>
      <c r="AE992" s="299">
        <v>118</v>
      </c>
      <c r="AF992" s="294" t="s">
        <v>417</v>
      </c>
      <c r="AG992" s="294" t="s">
        <v>418</v>
      </c>
      <c r="AH992" s="294" t="s">
        <v>419</v>
      </c>
      <c r="AI992" s="301">
        <v>1575839</v>
      </c>
    </row>
    <row r="993" spans="27:35" ht="16" customHeight="1">
      <c r="AA993" s="299">
        <v>2019</v>
      </c>
      <c r="AB993" s="299">
        <v>3740</v>
      </c>
      <c r="AC993" s="300" t="s">
        <v>244</v>
      </c>
      <c r="AD993" s="299">
        <v>755</v>
      </c>
      <c r="AE993" s="299">
        <v>119</v>
      </c>
      <c r="AF993" s="294" t="s">
        <v>417</v>
      </c>
      <c r="AG993" s="294" t="s">
        <v>418</v>
      </c>
      <c r="AH993" s="294" t="s">
        <v>420</v>
      </c>
      <c r="AI993" s="301">
        <v>0</v>
      </c>
    </row>
    <row r="994" spans="27:35" ht="16" customHeight="1">
      <c r="AA994" s="299">
        <v>2019</v>
      </c>
      <c r="AB994" s="299">
        <v>3740</v>
      </c>
      <c r="AC994" s="300" t="s">
        <v>244</v>
      </c>
      <c r="AD994" s="299">
        <v>755</v>
      </c>
      <c r="AE994" s="299">
        <v>120</v>
      </c>
      <c r="AF994" s="294" t="s">
        <v>421</v>
      </c>
      <c r="AG994" s="294" t="s">
        <v>422</v>
      </c>
      <c r="AH994" s="294" t="s">
        <v>322</v>
      </c>
      <c r="AI994" s="301">
        <v>2132692</v>
      </c>
    </row>
    <row r="995" spans="27:35" ht="16" customHeight="1">
      <c r="AA995" s="299">
        <v>2019</v>
      </c>
      <c r="AB995" s="299">
        <v>3740</v>
      </c>
      <c r="AC995" s="300" t="s">
        <v>244</v>
      </c>
      <c r="AD995" s="299">
        <v>755</v>
      </c>
      <c r="AE995" s="299">
        <v>121</v>
      </c>
      <c r="AF995" s="294" t="s">
        <v>421</v>
      </c>
      <c r="AG995" s="294" t="s">
        <v>422</v>
      </c>
      <c r="AH995" s="294" t="s">
        <v>323</v>
      </c>
      <c r="AI995" s="301">
        <v>2986539</v>
      </c>
    </row>
    <row r="996" spans="27:35" ht="16" customHeight="1">
      <c r="AA996" s="299">
        <v>2019</v>
      </c>
      <c r="AB996" s="299">
        <v>3740</v>
      </c>
      <c r="AC996" s="300" t="s">
        <v>244</v>
      </c>
      <c r="AD996" s="299">
        <v>755</v>
      </c>
      <c r="AE996" s="299">
        <v>122</v>
      </c>
      <c r="AF996" s="294" t="s">
        <v>421</v>
      </c>
      <c r="AG996" s="294" t="s">
        <v>422</v>
      </c>
      <c r="AH996" s="294" t="s">
        <v>325</v>
      </c>
      <c r="AI996" s="301">
        <v>7747458</v>
      </c>
    </row>
    <row r="997" spans="27:35" ht="16" customHeight="1">
      <c r="AA997" s="299">
        <v>2019</v>
      </c>
      <c r="AB997" s="299">
        <v>3740</v>
      </c>
      <c r="AC997" s="300" t="s">
        <v>244</v>
      </c>
      <c r="AD997" s="299">
        <v>755</v>
      </c>
      <c r="AE997" s="299">
        <v>123</v>
      </c>
      <c r="AF997" s="294" t="s">
        <v>423</v>
      </c>
      <c r="AG997" s="294" t="s">
        <v>424</v>
      </c>
      <c r="AH997" s="294" t="s">
        <v>425</v>
      </c>
      <c r="AI997" s="301">
        <v>6295990</v>
      </c>
    </row>
    <row r="998" spans="27:35" ht="16" customHeight="1">
      <c r="AA998" s="299">
        <v>2019</v>
      </c>
      <c r="AB998" s="299">
        <v>3740</v>
      </c>
      <c r="AC998" s="300" t="s">
        <v>244</v>
      </c>
      <c r="AD998" s="299">
        <v>755</v>
      </c>
      <c r="AE998" s="299">
        <v>124</v>
      </c>
      <c r="AF998" s="294" t="s">
        <v>426</v>
      </c>
      <c r="AG998" s="294" t="s">
        <v>427</v>
      </c>
      <c r="AH998" s="294" t="s">
        <v>428</v>
      </c>
      <c r="AI998" s="301">
        <v>3344445</v>
      </c>
    </row>
    <row r="999" spans="27:35" ht="16" customHeight="1">
      <c r="AA999" s="299">
        <v>2019</v>
      </c>
      <c r="AB999" s="299">
        <v>3740</v>
      </c>
      <c r="AC999" s="300" t="s">
        <v>244</v>
      </c>
      <c r="AD999" s="299">
        <v>755</v>
      </c>
      <c r="AE999" s="299">
        <v>125</v>
      </c>
      <c r="AF999" s="294" t="s">
        <v>429</v>
      </c>
      <c r="AG999" s="294" t="s">
        <v>430</v>
      </c>
      <c r="AH999" s="294" t="s">
        <v>431</v>
      </c>
      <c r="AI999" s="301">
        <v>125955</v>
      </c>
    </row>
    <row r="1000" spans="27:35" ht="16" customHeight="1">
      <c r="AA1000" s="299">
        <v>2019</v>
      </c>
      <c r="AB1000" s="299">
        <v>3740</v>
      </c>
      <c r="AC1000" s="300" t="s">
        <v>244</v>
      </c>
      <c r="AD1000" s="299">
        <v>755</v>
      </c>
      <c r="AE1000" s="299">
        <v>126</v>
      </c>
      <c r="AF1000" s="294" t="s">
        <v>432</v>
      </c>
      <c r="AG1000" s="294" t="s">
        <v>433</v>
      </c>
      <c r="AH1000" s="294" t="s">
        <v>434</v>
      </c>
      <c r="AI1000" s="301">
        <v>0</v>
      </c>
    </row>
    <row r="1001" spans="27:35" ht="16" customHeight="1">
      <c r="AA1001" s="299">
        <v>2019</v>
      </c>
      <c r="AB1001" s="299">
        <v>3740</v>
      </c>
      <c r="AC1001" s="300" t="s">
        <v>244</v>
      </c>
      <c r="AD1001" s="299">
        <v>755</v>
      </c>
      <c r="AE1001" s="299">
        <v>127</v>
      </c>
      <c r="AF1001" s="294" t="s">
        <v>432</v>
      </c>
      <c r="AG1001" s="294" t="s">
        <v>433</v>
      </c>
      <c r="AH1001" s="294" t="s">
        <v>435</v>
      </c>
      <c r="AI1001" s="301">
        <v>0</v>
      </c>
    </row>
    <row r="1002" spans="27:35" ht="16" customHeight="1">
      <c r="AA1002" s="299">
        <v>2019</v>
      </c>
      <c r="AB1002" s="299">
        <v>3740</v>
      </c>
      <c r="AC1002" s="300" t="s">
        <v>244</v>
      </c>
      <c r="AD1002" s="299">
        <v>755</v>
      </c>
      <c r="AE1002" s="299">
        <v>128</v>
      </c>
      <c r="AF1002" s="294" t="s">
        <v>432</v>
      </c>
      <c r="AG1002" s="294" t="s">
        <v>433</v>
      </c>
      <c r="AH1002" s="294" t="s">
        <v>158</v>
      </c>
      <c r="AI1002" s="301">
        <v>63855088</v>
      </c>
    </row>
    <row r="1003" spans="27:35" ht="16" customHeight="1">
      <c r="AA1003" s="299">
        <v>2019</v>
      </c>
      <c r="AB1003" s="299">
        <v>3740</v>
      </c>
      <c r="AC1003" s="300" t="s">
        <v>244</v>
      </c>
      <c r="AD1003" s="299">
        <v>755</v>
      </c>
      <c r="AE1003" s="299">
        <v>129</v>
      </c>
      <c r="AF1003" s="294" t="s">
        <v>432</v>
      </c>
      <c r="AG1003" s="294" t="s">
        <v>433</v>
      </c>
      <c r="AH1003" s="294" t="s">
        <v>436</v>
      </c>
      <c r="AI1003" s="301">
        <v>63855088</v>
      </c>
    </row>
    <row r="1004" spans="27:35" ht="16" customHeight="1">
      <c r="AA1004" s="299">
        <v>2019</v>
      </c>
      <c r="AB1004" s="299">
        <v>3740</v>
      </c>
      <c r="AC1004" s="300" t="s">
        <v>244</v>
      </c>
      <c r="AD1004" s="299">
        <v>755</v>
      </c>
      <c r="AE1004" s="299">
        <v>130</v>
      </c>
      <c r="AF1004" s="294" t="s">
        <v>437</v>
      </c>
      <c r="AG1004" s="294" t="s">
        <v>438</v>
      </c>
      <c r="AH1004" s="294" t="s">
        <v>439</v>
      </c>
      <c r="AI1004" s="301">
        <v>30226</v>
      </c>
    </row>
    <row r="1005" spans="27:35" ht="16" customHeight="1">
      <c r="AA1005" s="299">
        <v>2019</v>
      </c>
      <c r="AB1005" s="299">
        <v>3740</v>
      </c>
      <c r="AC1005" s="300" t="s">
        <v>244</v>
      </c>
      <c r="AD1005" s="299">
        <v>755</v>
      </c>
      <c r="AE1005" s="299">
        <v>131</v>
      </c>
      <c r="AF1005" s="294" t="s">
        <v>437</v>
      </c>
      <c r="AG1005" s="294" t="s">
        <v>438</v>
      </c>
      <c r="AH1005" s="294" t="s">
        <v>440</v>
      </c>
      <c r="AI1005" s="301">
        <v>0</v>
      </c>
    </row>
    <row r="1006" spans="27:35" ht="16" customHeight="1">
      <c r="AA1006" s="299">
        <v>2019</v>
      </c>
      <c r="AB1006" s="299">
        <v>3740</v>
      </c>
      <c r="AC1006" s="300" t="s">
        <v>244</v>
      </c>
      <c r="AD1006" s="299">
        <v>755</v>
      </c>
      <c r="AE1006" s="299">
        <v>132</v>
      </c>
      <c r="AF1006" s="294" t="s">
        <v>437</v>
      </c>
      <c r="AG1006" s="294" t="s">
        <v>441</v>
      </c>
      <c r="AH1006" s="294" t="s">
        <v>442</v>
      </c>
      <c r="AI1006" s="301">
        <v>0</v>
      </c>
    </row>
    <row r="1007" spans="27:35" ht="16" customHeight="1">
      <c r="AA1007" s="299">
        <v>2019</v>
      </c>
      <c r="AB1007" s="299">
        <v>3740</v>
      </c>
      <c r="AC1007" s="300" t="s">
        <v>244</v>
      </c>
      <c r="AD1007" s="299">
        <v>755</v>
      </c>
      <c r="AE1007" s="299">
        <v>133</v>
      </c>
      <c r="AF1007" s="294" t="s">
        <v>437</v>
      </c>
      <c r="AG1007" s="294" t="s">
        <v>443</v>
      </c>
      <c r="AH1007" s="294" t="s">
        <v>444</v>
      </c>
      <c r="AI1007" s="301">
        <v>30226</v>
      </c>
    </row>
    <row r="1008" spans="27:35" ht="16" customHeight="1">
      <c r="AA1008" s="299">
        <v>2019</v>
      </c>
      <c r="AB1008" s="299">
        <v>3740</v>
      </c>
      <c r="AC1008" s="300" t="s">
        <v>244</v>
      </c>
      <c r="AD1008" s="299">
        <v>755</v>
      </c>
      <c r="AE1008" s="299">
        <v>134</v>
      </c>
      <c r="AF1008" s="294" t="s">
        <v>445</v>
      </c>
      <c r="AG1008" s="294" t="s">
        <v>446</v>
      </c>
      <c r="AH1008" s="294" t="s">
        <v>447</v>
      </c>
      <c r="AI1008" s="301">
        <v>460</v>
      </c>
    </row>
  </sheetData>
  <mergeCells count="1">
    <mergeCell ref="AH31:AJ31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9DF55-3853-4A47-815C-1E04648E32AB}">
  <sheetPr>
    <tabColor theme="6" tint="-0.499984740745262"/>
  </sheetPr>
  <dimension ref="A1:FV915"/>
  <sheetViews>
    <sheetView topLeftCell="DV1" workbookViewId="0">
      <selection activeCell="FC31" sqref="FC31"/>
    </sheetView>
  </sheetViews>
  <sheetFormatPr baseColWidth="10" defaultRowHeight="16"/>
  <cols>
    <col min="6" max="6" width="21.5" bestFit="1" customWidth="1"/>
    <col min="8" max="8" width="15" bestFit="1" customWidth="1"/>
    <col min="12" max="12" width="5.1640625" customWidth="1"/>
    <col min="18" max="18" width="22.33203125" customWidth="1"/>
    <col min="19" max="19" width="25.83203125" customWidth="1"/>
    <col min="20" max="21" width="13" customWidth="1"/>
    <col min="22" max="22" width="13.5" bestFit="1" customWidth="1"/>
    <col min="23" max="23" width="13" customWidth="1"/>
    <col min="24" max="24" width="13.5" bestFit="1" customWidth="1"/>
    <col min="25" max="25" width="5.5" style="253" customWidth="1"/>
    <col min="32" max="32" width="41" bestFit="1" customWidth="1"/>
    <col min="33" max="33" width="12.83203125" customWidth="1"/>
    <col min="34" max="34" width="12" customWidth="1"/>
    <col min="35" max="36" width="12.5" customWidth="1"/>
    <col min="37" max="37" width="11.5" bestFit="1" customWidth="1"/>
    <col min="39" max="39" width="5.1640625" style="253" customWidth="1"/>
    <col min="45" max="45" width="12.83203125" bestFit="1" customWidth="1"/>
    <col min="47" max="47" width="12.5" bestFit="1" customWidth="1"/>
    <col min="49" max="49" width="5.5" style="253" customWidth="1"/>
    <col min="55" max="55" width="14.1640625" bestFit="1" customWidth="1"/>
    <col min="56" max="56" width="47" bestFit="1" customWidth="1"/>
    <col min="57" max="58" width="15" bestFit="1" customWidth="1"/>
    <col min="59" max="59" width="23.33203125" bestFit="1" customWidth="1"/>
    <col min="60" max="60" width="13.5" bestFit="1" customWidth="1"/>
    <col min="61" max="61" width="16" bestFit="1" customWidth="1"/>
    <col min="62" max="62" width="5.5" style="253" customWidth="1"/>
    <col min="68" max="68" width="24.6640625" bestFit="1" customWidth="1"/>
    <col min="75" max="75" width="5.33203125" style="253" customWidth="1"/>
    <col min="76" max="76" width="6.5" style="319" bestFit="1" customWidth="1"/>
    <col min="77" max="77" width="13.1640625" customWidth="1"/>
    <col min="78" max="79" width="13.83203125" bestFit="1" customWidth="1"/>
    <col min="80" max="80" width="10.5" bestFit="1" customWidth="1"/>
    <col min="81" max="81" width="13.6640625" bestFit="1" customWidth="1"/>
    <col min="82" max="82" width="13" bestFit="1" customWidth="1"/>
    <col min="83" max="83" width="16.5" bestFit="1" customWidth="1"/>
    <col min="84" max="84" width="14.6640625" bestFit="1" customWidth="1"/>
    <col min="85" max="85" width="17.5" bestFit="1" customWidth="1"/>
    <col min="86" max="88" width="17.5" customWidth="1"/>
    <col min="89" max="89" width="6" style="253" customWidth="1"/>
    <col min="91" max="92" width="5.1640625" bestFit="1" customWidth="1"/>
    <col min="93" max="93" width="5.33203125" bestFit="1" customWidth="1"/>
    <col min="94" max="94" width="5.6640625" bestFit="1" customWidth="1"/>
    <col min="95" max="95" width="4.33203125" bestFit="1" customWidth="1"/>
    <col min="96" max="96" width="39.1640625" bestFit="1" customWidth="1"/>
    <col min="97" max="97" width="52.83203125" bestFit="1" customWidth="1"/>
    <col min="98" max="98" width="58.5" bestFit="1" customWidth="1"/>
    <col min="99" max="99" width="27" bestFit="1" customWidth="1"/>
    <col min="100" max="100" width="28.1640625" bestFit="1" customWidth="1"/>
    <col min="101" max="103" width="15" bestFit="1" customWidth="1"/>
    <col min="105" max="105" width="11.83203125" bestFit="1" customWidth="1"/>
    <col min="107" max="107" width="12.33203125" bestFit="1" customWidth="1"/>
    <col min="108" max="108" width="28.5" customWidth="1"/>
    <col min="110" max="110" width="11.5" bestFit="1" customWidth="1"/>
    <col min="111" max="111" width="12.5" bestFit="1" customWidth="1"/>
    <col min="112" max="113" width="14" bestFit="1" customWidth="1"/>
    <col min="114" max="114" width="16.6640625" bestFit="1" customWidth="1"/>
    <col min="115" max="115" width="12.5" bestFit="1" customWidth="1"/>
    <col min="116" max="116" width="17.1640625" bestFit="1" customWidth="1"/>
    <col min="117" max="117" width="11.5" customWidth="1"/>
    <col min="119" max="121" width="12.6640625" bestFit="1" customWidth="1"/>
    <col min="122" max="127" width="12.6640625" customWidth="1"/>
    <col min="128" max="128" width="13.5" bestFit="1" customWidth="1"/>
    <col min="129" max="129" width="18.6640625" bestFit="1" customWidth="1"/>
    <col min="130" max="131" width="13.5" customWidth="1"/>
    <col min="132" max="132" width="6.33203125" style="253" customWidth="1"/>
    <col min="133" max="133" width="39.83203125" bestFit="1" customWidth="1"/>
    <col min="134" max="134" width="11.5" bestFit="1" customWidth="1"/>
    <col min="136" max="136" width="13" bestFit="1" customWidth="1"/>
    <col min="137" max="137" width="13" customWidth="1"/>
    <col min="138" max="138" width="18.5" customWidth="1"/>
    <col min="139" max="139" width="16.5" customWidth="1"/>
    <col min="140" max="140" width="17" customWidth="1"/>
    <col min="141" max="141" width="11.1640625" customWidth="1"/>
    <col min="142" max="142" width="15.33203125" customWidth="1"/>
    <col min="143" max="143" width="15.5" customWidth="1"/>
    <col min="144" max="144" width="16" bestFit="1" customWidth="1"/>
    <col min="148" max="148" width="13" bestFit="1" customWidth="1"/>
    <col min="149" max="149" width="12.6640625" bestFit="1" customWidth="1"/>
    <col min="150" max="150" width="16" bestFit="1" customWidth="1"/>
    <col min="151" max="151" width="15" customWidth="1"/>
    <col min="152" max="152" width="16" bestFit="1" customWidth="1"/>
    <col min="153" max="153" width="11.6640625" customWidth="1"/>
    <col min="154" max="154" width="13" bestFit="1" customWidth="1"/>
    <col min="155" max="155" width="12.6640625" bestFit="1" customWidth="1"/>
    <col min="156" max="157" width="14.5" customWidth="1"/>
    <col min="158" max="158" width="13" bestFit="1" customWidth="1"/>
    <col min="160" max="160" width="13" bestFit="1" customWidth="1"/>
    <col min="161" max="161" width="11" bestFit="1" customWidth="1"/>
    <col min="162" max="162" width="16" bestFit="1" customWidth="1"/>
    <col min="163" max="163" width="5.5" style="253" customWidth="1"/>
    <col min="165" max="165" width="9" customWidth="1"/>
    <col min="166" max="166" width="46.1640625" bestFit="1" customWidth="1"/>
    <col min="167" max="167" width="8.1640625" bestFit="1" customWidth="1"/>
    <col min="168" max="168" width="10.5" bestFit="1" customWidth="1"/>
    <col min="169" max="169" width="15" bestFit="1" customWidth="1"/>
    <col min="170" max="171" width="14" bestFit="1" customWidth="1"/>
    <col min="172" max="172" width="16.33203125" bestFit="1" customWidth="1"/>
    <col min="173" max="173" width="12.5" bestFit="1" customWidth="1"/>
    <col min="174" max="174" width="21.1640625" bestFit="1" customWidth="1"/>
    <col min="176" max="176" width="14.1640625" bestFit="1" customWidth="1"/>
    <col min="177" max="177" width="13.83203125" bestFit="1" customWidth="1"/>
  </cols>
  <sheetData>
    <row r="1" spans="1:178" ht="103" customHeight="1">
      <c r="A1" s="267" t="s">
        <v>545</v>
      </c>
      <c r="B1" s="16"/>
      <c r="C1" s="16"/>
      <c r="D1" s="16"/>
      <c r="E1" s="16"/>
      <c r="F1" s="16"/>
      <c r="G1" s="16"/>
      <c r="L1" s="253"/>
      <c r="M1" s="252" t="s">
        <v>261</v>
      </c>
      <c r="T1" s="261"/>
      <c r="U1" s="261"/>
      <c r="V1" s="261"/>
      <c r="W1" s="261"/>
      <c r="X1" s="261"/>
      <c r="Z1" s="252" t="s">
        <v>1819</v>
      </c>
      <c r="AD1" s="289"/>
      <c r="AN1" s="267" t="s">
        <v>546</v>
      </c>
      <c r="AO1" s="16"/>
      <c r="AP1" s="16"/>
      <c r="AQ1" s="16"/>
      <c r="AR1" s="16"/>
      <c r="AS1" s="16"/>
      <c r="AT1" s="16"/>
      <c r="AX1" s="252" t="s">
        <v>261</v>
      </c>
      <c r="BK1" s="252" t="s">
        <v>587</v>
      </c>
      <c r="BY1" s="252" t="s">
        <v>611</v>
      </c>
      <c r="CL1" s="252" t="s">
        <v>704</v>
      </c>
      <c r="CT1" s="544"/>
      <c r="CU1" s="545"/>
      <c r="CV1" s="545"/>
      <c r="CW1" s="545"/>
      <c r="CX1" s="546"/>
      <c r="CY1" s="1062" t="s">
        <v>707</v>
      </c>
      <c r="CZ1" s="1063"/>
      <c r="DA1" s="1063"/>
      <c r="DB1" s="1064"/>
      <c r="DC1" s="547" t="s">
        <v>679</v>
      </c>
      <c r="DE1" s="592" t="s">
        <v>800</v>
      </c>
      <c r="DF1" s="592" t="s">
        <v>1576</v>
      </c>
      <c r="DG1" s="592" t="s">
        <v>801</v>
      </c>
      <c r="DH1" s="593" t="s">
        <v>1578</v>
      </c>
      <c r="DI1" s="593" t="s">
        <v>802</v>
      </c>
      <c r="DJ1" s="593" t="s">
        <v>1579</v>
      </c>
      <c r="DK1" s="593" t="s">
        <v>1577</v>
      </c>
      <c r="DL1" s="593" t="s">
        <v>1582</v>
      </c>
      <c r="DM1" s="593" t="s">
        <v>1581</v>
      </c>
      <c r="DN1" s="593" t="s">
        <v>1575</v>
      </c>
      <c r="DO1" s="593" t="s">
        <v>1589</v>
      </c>
      <c r="DP1" s="593" t="s">
        <v>1590</v>
      </c>
      <c r="DQ1" s="593" t="s">
        <v>1591</v>
      </c>
      <c r="DR1" s="593" t="s">
        <v>1583</v>
      </c>
      <c r="DS1" s="593" t="s">
        <v>1584</v>
      </c>
      <c r="DT1" s="593" t="s">
        <v>1587</v>
      </c>
      <c r="DU1" s="593" t="s">
        <v>1588</v>
      </c>
      <c r="DV1" s="593" t="s">
        <v>1585</v>
      </c>
      <c r="DW1" s="593" t="s">
        <v>1586</v>
      </c>
      <c r="DX1" s="593" t="s">
        <v>1592</v>
      </c>
      <c r="DY1" s="612" t="s">
        <v>1681</v>
      </c>
      <c r="DZ1" s="612" t="s">
        <v>1685</v>
      </c>
      <c r="EA1" s="621" t="s">
        <v>1684</v>
      </c>
      <c r="EC1" s="706" t="s">
        <v>1580</v>
      </c>
      <c r="ED1" s="1067" t="s">
        <v>1593</v>
      </c>
      <c r="EE1" s="1067"/>
      <c r="EF1" s="1067"/>
      <c r="EG1" s="707"/>
      <c r="EH1" s="708"/>
      <c r="EI1" s="705"/>
      <c r="EJ1" s="1068" t="s">
        <v>1594</v>
      </c>
      <c r="EK1" s="1068"/>
      <c r="EL1" s="1068"/>
      <c r="EM1" s="1068"/>
      <c r="EN1" s="1069"/>
      <c r="EO1" s="1058" t="s">
        <v>1606</v>
      </c>
      <c r="EP1" s="1059"/>
      <c r="EQ1" s="1059"/>
      <c r="ER1" s="1059"/>
      <c r="ES1" s="1059"/>
      <c r="ET1" s="1060"/>
      <c r="EU1" s="1058" t="s">
        <v>1863</v>
      </c>
      <c r="EV1" s="1059"/>
      <c r="EW1" s="1059"/>
      <c r="EX1" s="1059"/>
      <c r="EY1" s="1059"/>
      <c r="EZ1" s="1060"/>
      <c r="FA1" s="1058" t="s">
        <v>1595</v>
      </c>
      <c r="FB1" s="1059"/>
      <c r="FC1" s="1059"/>
      <c r="FD1" s="1059"/>
      <c r="FE1" s="1059"/>
      <c r="FF1" s="1060"/>
      <c r="FH1" s="252" t="s">
        <v>1820</v>
      </c>
    </row>
    <row r="2" spans="1:178" ht="17" thickBot="1">
      <c r="A2" s="2" t="s">
        <v>319</v>
      </c>
      <c r="L2" s="253"/>
      <c r="M2" s="2" t="s">
        <v>318</v>
      </c>
      <c r="T2" s="261"/>
      <c r="U2" s="261"/>
      <c r="V2" s="261"/>
      <c r="W2" s="261"/>
      <c r="X2" s="261"/>
      <c r="Z2" s="2" t="s">
        <v>317</v>
      </c>
      <c r="AD2" s="289"/>
      <c r="AN2" s="2" t="s">
        <v>319</v>
      </c>
      <c r="AX2" s="2" t="s">
        <v>318</v>
      </c>
      <c r="BZ2" s="588"/>
      <c r="CA2" s="589"/>
      <c r="CB2" s="589"/>
      <c r="CC2" s="589"/>
      <c r="CD2" s="589" t="s">
        <v>715</v>
      </c>
      <c r="CE2" s="589" t="s">
        <v>716</v>
      </c>
      <c r="CP2" s="480" t="s">
        <v>267</v>
      </c>
      <c r="CQ2" s="4" t="s">
        <v>661</v>
      </c>
      <c r="CR2" s="4"/>
      <c r="CS2" s="481"/>
      <c r="CT2" s="548" t="s">
        <v>684</v>
      </c>
      <c r="CU2" s="549" t="s">
        <v>685</v>
      </c>
      <c r="CV2" s="550" t="s">
        <v>705</v>
      </c>
      <c r="CW2" s="550" t="s">
        <v>706</v>
      </c>
      <c r="CX2" s="551" t="s">
        <v>702</v>
      </c>
      <c r="CY2" s="552" t="s">
        <v>680</v>
      </c>
      <c r="CZ2" s="550" t="s">
        <v>681</v>
      </c>
      <c r="DA2" s="550" t="s">
        <v>682</v>
      </c>
      <c r="DB2" s="551" t="s">
        <v>683</v>
      </c>
      <c r="DC2" s="553" t="s">
        <v>703</v>
      </c>
      <c r="EC2" s="665" t="s">
        <v>1596</v>
      </c>
      <c r="ED2" s="666">
        <f>CS22</f>
        <v>74.766637862017191</v>
      </c>
      <c r="EE2" s="667"/>
      <c r="EF2" s="667"/>
      <c r="EG2" s="667"/>
      <c r="EH2" s="668" t="s">
        <v>1691</v>
      </c>
      <c r="EI2" s="665" t="s">
        <v>1692</v>
      </c>
      <c r="EJ2" s="16"/>
      <c r="EK2" s="666">
        <v>108.88515437134551</v>
      </c>
      <c r="EL2" s="16"/>
      <c r="EM2" s="16"/>
      <c r="EN2" s="684" t="s">
        <v>1691</v>
      </c>
      <c r="EO2" s="487"/>
      <c r="EP2" s="699">
        <v>68.521910232126146</v>
      </c>
      <c r="EQ2" s="16"/>
      <c r="ER2" s="16"/>
      <c r="ES2" s="16"/>
      <c r="ET2" s="700" t="s">
        <v>1691</v>
      </c>
      <c r="EU2" s="544" t="s">
        <v>1694</v>
      </c>
      <c r="EV2" s="709">
        <f>EV16</f>
        <v>89.65770851038755</v>
      </c>
      <c r="EW2" s="4"/>
      <c r="EX2" s="4"/>
      <c r="EY2" s="4"/>
      <c r="EZ2" s="620" t="s">
        <v>1691</v>
      </c>
      <c r="FA2" s="717" t="s">
        <v>1695</v>
      </c>
      <c r="FB2" s="709">
        <v>27.918460519142091</v>
      </c>
      <c r="FC2" s="4"/>
      <c r="FD2" s="4"/>
      <c r="FE2" s="4"/>
      <c r="FF2" s="620" t="s">
        <v>1691</v>
      </c>
      <c r="FI2" s="2" t="s">
        <v>1208</v>
      </c>
    </row>
    <row r="3" spans="1:178">
      <c r="D3" s="266"/>
      <c r="E3" s="69"/>
      <c r="F3" s="69"/>
      <c r="G3" s="69"/>
      <c r="H3" s="69"/>
      <c r="I3" s="70"/>
      <c r="L3" s="253"/>
      <c r="T3" s="261"/>
      <c r="U3" s="261"/>
      <c r="V3" s="261"/>
      <c r="W3" s="261"/>
      <c r="X3" s="261"/>
      <c r="AD3" s="289"/>
      <c r="AQ3" s="266"/>
      <c r="AR3" s="69"/>
      <c r="AS3" s="69"/>
      <c r="AT3" s="69"/>
      <c r="AU3" s="69"/>
      <c r="AV3" s="70"/>
      <c r="BM3" s="272">
        <v>2019</v>
      </c>
      <c r="BN3" s="272" t="s">
        <v>588</v>
      </c>
      <c r="BO3" s="272">
        <v>59</v>
      </c>
      <c r="BP3" s="441" t="s">
        <v>589</v>
      </c>
      <c r="BQ3">
        <f t="shared" ref="BQ3:BV14" si="0">SUMIFS(BQ$33:BQ$116,$BO$33:$BO$116,$BO3)</f>
        <v>48504</v>
      </c>
      <c r="BR3">
        <f t="shared" si="0"/>
        <v>34249</v>
      </c>
      <c r="BS3">
        <f t="shared" si="0"/>
        <v>48450</v>
      </c>
      <c r="BT3">
        <f t="shared" si="0"/>
        <v>34249</v>
      </c>
      <c r="BU3">
        <f t="shared" si="0"/>
        <v>1481871</v>
      </c>
      <c r="BV3">
        <f t="shared" si="0"/>
        <v>0</v>
      </c>
      <c r="BZ3" s="590" t="s">
        <v>711</v>
      </c>
      <c r="CA3" s="591" t="s">
        <v>678</v>
      </c>
      <c r="CB3" s="591" t="s">
        <v>712</v>
      </c>
      <c r="CC3" s="591" t="s">
        <v>713</v>
      </c>
      <c r="CD3" s="591" t="s">
        <v>714</v>
      </c>
      <c r="CE3" s="591" t="s">
        <v>714</v>
      </c>
      <c r="CP3" s="487">
        <v>25</v>
      </c>
      <c r="CQ3" s="16">
        <v>57</v>
      </c>
      <c r="CR3" s="16" t="s">
        <v>656</v>
      </c>
      <c r="CS3" s="489">
        <f>SUMIFS(CU34:CU915,CQ34:CQ915,CP3)+SUMIFS(CU34:CU915,CQ34:CQ915,CQ3)</f>
        <v>4448926000</v>
      </c>
      <c r="CT3" s="484" t="s">
        <v>687</v>
      </c>
      <c r="CU3" s="485" t="s">
        <v>389</v>
      </c>
      <c r="CV3" s="466">
        <f>SUMIFS($CU$34:$CU$915,$CQ$34:$CQ$915,$CY3)+SUMIFS($CU$34:$CU$915,$CQ$34:$CQ$915,$DA3)</f>
        <v>867687000</v>
      </c>
      <c r="CW3" s="466">
        <f>SUMIFS($CU$34:$CU$915,$CQ$34:$CQ$915,$CZ3)+SUMIFS($CU$34:$CU$915,$CQ$34:$CQ$915,$DB3)</f>
        <v>666515000</v>
      </c>
      <c r="CX3" s="486">
        <f>CV3+CW3</f>
        <v>1534202000</v>
      </c>
      <c r="CY3" s="491">
        <v>17</v>
      </c>
      <c r="CZ3" s="492">
        <v>33</v>
      </c>
      <c r="DA3" s="492">
        <v>49</v>
      </c>
      <c r="DB3" s="493">
        <v>67</v>
      </c>
      <c r="DC3" s="554">
        <f>CX3/CV3</f>
        <v>1.7681514186567275</v>
      </c>
      <c r="DE3" t="s">
        <v>687</v>
      </c>
      <c r="DF3" s="296">
        <f t="shared" ref="DF3:DF13" si="1">SUMIFS($DF$33:$DF$334,$DE$33:$DE$334,DE3)</f>
        <v>701196</v>
      </c>
      <c r="DG3" s="478">
        <v>1</v>
      </c>
      <c r="DH3" s="296">
        <f t="shared" ref="DH3:DH18" si="2">DF3/DG3</f>
        <v>701196</v>
      </c>
      <c r="DI3" s="477">
        <f>DC3</f>
        <v>1.7681514186567275</v>
      </c>
      <c r="DJ3" s="594">
        <f>(DI3-1)*DH3</f>
        <v>538624.70215642278</v>
      </c>
      <c r="DK3" s="286">
        <f>DH3+DJ3</f>
        <v>1239820.7021564227</v>
      </c>
      <c r="DL3" s="472">
        <f>DH3/DK3</f>
        <v>0.56556242267967327</v>
      </c>
      <c r="DM3" s="472">
        <f>1-DL3</f>
        <v>0.43443757732032673</v>
      </c>
      <c r="DN3" s="596">
        <f>DK3/$DK$19</f>
        <v>3.2830203324896508E-2</v>
      </c>
      <c r="DO3" s="453">
        <v>43</v>
      </c>
      <c r="DP3" s="453">
        <v>94</v>
      </c>
      <c r="DQ3" s="453">
        <v>58.666666666666664</v>
      </c>
      <c r="DR3" s="453">
        <v>22.05</v>
      </c>
      <c r="DS3" s="453">
        <v>72.099999999999994</v>
      </c>
      <c r="DT3" s="453">
        <v>36.65</v>
      </c>
      <c r="DU3" s="453">
        <v>27.45</v>
      </c>
      <c r="DV3" s="453">
        <v>117.75</v>
      </c>
      <c r="DW3" s="453">
        <v>101.75</v>
      </c>
      <c r="DX3" s="453">
        <v>75.550396750694532</v>
      </c>
      <c r="DY3" s="408">
        <f>SUMIFS($DL$33:$DL$334,$DE$33:$DE$334,$DE3)</f>
        <v>63843842297.32827</v>
      </c>
      <c r="DZ3" s="643">
        <f>DY3/DH3</f>
        <v>91049.923697979262</v>
      </c>
      <c r="EA3" s="643">
        <f>(-1*PMT($EA$23,$EA$24,$DZ3,0.1*$DZ3))/(365*24)</f>
        <v>11.794914773112657</v>
      </c>
      <c r="EC3" s="669"/>
      <c r="ED3" s="600" t="s">
        <v>1599</v>
      </c>
      <c r="EE3" s="600" t="s">
        <v>1600</v>
      </c>
      <c r="EF3" s="600" t="s">
        <v>1601</v>
      </c>
      <c r="EG3" s="600" t="s">
        <v>1689</v>
      </c>
      <c r="EH3" s="677" t="s">
        <v>1690</v>
      </c>
      <c r="EI3" s="687" t="s">
        <v>800</v>
      </c>
      <c r="EJ3" s="604" t="s">
        <v>1599</v>
      </c>
      <c r="EK3" s="688" t="s">
        <v>1689</v>
      </c>
      <c r="EL3" s="600" t="s">
        <v>1600</v>
      </c>
      <c r="EM3" s="600" t="s">
        <v>1601</v>
      </c>
      <c r="EN3" s="677" t="s">
        <v>1690</v>
      </c>
      <c r="EO3" s="687" t="s">
        <v>800</v>
      </c>
      <c r="EP3" s="600" t="s">
        <v>1599</v>
      </c>
      <c r="EQ3" s="600" t="s">
        <v>1600</v>
      </c>
      <c r="ER3" s="600" t="s">
        <v>1601</v>
      </c>
      <c r="ES3" s="600" t="s">
        <v>1689</v>
      </c>
      <c r="ET3" s="701" t="s">
        <v>1690</v>
      </c>
      <c r="EU3" s="687" t="s">
        <v>800</v>
      </c>
      <c r="EV3" s="600" t="s">
        <v>1599</v>
      </c>
      <c r="EW3" s="600" t="s">
        <v>1600</v>
      </c>
      <c r="EX3" s="600" t="s">
        <v>1601</v>
      </c>
      <c r="EY3" s="600" t="s">
        <v>1689</v>
      </c>
      <c r="EZ3" s="701" t="s">
        <v>1690</v>
      </c>
      <c r="FA3" s="687" t="s">
        <v>800</v>
      </c>
      <c r="FB3" s="600" t="s">
        <v>1599</v>
      </c>
      <c r="FC3" s="600" t="s">
        <v>1600</v>
      </c>
      <c r="FD3" s="600" t="s">
        <v>1601</v>
      </c>
      <c r="FE3" s="600" t="s">
        <v>1689</v>
      </c>
      <c r="FF3" s="701" t="s">
        <v>1690</v>
      </c>
      <c r="FH3" t="s">
        <v>797</v>
      </c>
      <c r="FI3" t="s">
        <v>804</v>
      </c>
      <c r="FJ3" t="s">
        <v>805</v>
      </c>
      <c r="FK3" t="s">
        <v>800</v>
      </c>
      <c r="FL3" t="s">
        <v>678</v>
      </c>
      <c r="FM3" t="s">
        <v>794</v>
      </c>
      <c r="FN3" t="s">
        <v>353</v>
      </c>
      <c r="FO3" t="s">
        <v>803</v>
      </c>
      <c r="FP3" t="s">
        <v>1627</v>
      </c>
      <c r="FQ3" t="s">
        <v>1628</v>
      </c>
      <c r="FR3" t="s">
        <v>1680</v>
      </c>
      <c r="FS3" t="s">
        <v>1815</v>
      </c>
      <c r="FT3" t="s">
        <v>1816</v>
      </c>
      <c r="FU3" t="s">
        <v>1817</v>
      </c>
      <c r="FV3" t="s">
        <v>1818</v>
      </c>
    </row>
    <row r="4" spans="1:178">
      <c r="D4" s="183" t="s">
        <v>477</v>
      </c>
      <c r="E4" s="169"/>
      <c r="F4" s="169"/>
      <c r="G4" s="169"/>
      <c r="H4" s="169"/>
      <c r="I4" s="66"/>
      <c r="L4" s="253"/>
      <c r="T4" s="261"/>
      <c r="U4" s="261"/>
      <c r="V4" s="261"/>
      <c r="W4" s="261"/>
      <c r="X4" s="261"/>
      <c r="AD4" s="289"/>
      <c r="AG4" s="319"/>
      <c r="AQ4" s="183" t="s">
        <v>477</v>
      </c>
      <c r="AR4" s="169"/>
      <c r="AS4" s="169"/>
      <c r="AT4" s="169"/>
      <c r="AU4" s="169"/>
      <c r="AV4" s="66"/>
      <c r="BM4" s="272">
        <v>2019</v>
      </c>
      <c r="BN4" s="272" t="s">
        <v>588</v>
      </c>
      <c r="BO4" s="272">
        <v>60</v>
      </c>
      <c r="BP4" s="441" t="s">
        <v>590</v>
      </c>
      <c r="BQ4">
        <f t="shared" si="0"/>
        <v>1954</v>
      </c>
      <c r="BR4">
        <f t="shared" si="0"/>
        <v>18753</v>
      </c>
      <c r="BS4">
        <f t="shared" si="0"/>
        <v>1825</v>
      </c>
      <c r="BT4">
        <f t="shared" si="0"/>
        <v>20003</v>
      </c>
      <c r="BU4">
        <f t="shared" si="0"/>
        <v>618060</v>
      </c>
      <c r="BV4">
        <f t="shared" si="0"/>
        <v>0</v>
      </c>
      <c r="BY4" s="480" t="s">
        <v>699</v>
      </c>
      <c r="BZ4" s="4">
        <f>SUMIFS($CD$33:$CD$64,$BY$33:$BY$64,BY4)</f>
        <v>28510</v>
      </c>
      <c r="CA4" s="4">
        <f>SUMIFS($CE$33:$CE$64,$BY$33:$BY$64,BY4)</f>
        <v>7650</v>
      </c>
      <c r="CB4" s="587">
        <f>BZ4/CA4</f>
        <v>3.7267973856209151</v>
      </c>
      <c r="CC4" s="587">
        <v>1</v>
      </c>
      <c r="CD4" s="587">
        <f>CC4*CB4</f>
        <v>3.7267973856209151</v>
      </c>
      <c r="CE4" s="587">
        <f>CD4*(CA78/CD6)</f>
        <v>3.5915986287092889</v>
      </c>
      <c r="CP4" s="487">
        <v>41</v>
      </c>
      <c r="CQ4" s="16">
        <v>75</v>
      </c>
      <c r="CR4" s="16" t="s">
        <v>657</v>
      </c>
      <c r="CS4" s="489">
        <f>SUMIFS(CU34:CU915,CQ34:CQ915,CP4)+SUMIFS(CU34:CU915,CQ34:CQ915,CQ4)</f>
        <v>375507000</v>
      </c>
      <c r="CT4" s="484" t="s">
        <v>686</v>
      </c>
      <c r="CU4" s="474" t="s">
        <v>388</v>
      </c>
      <c r="CV4" s="466">
        <f t="shared" ref="CV4:CV22" si="3">SUMIFS($CU$34:$CU$915,$CQ$34:$CQ$915,$CY4)+SUMIFS($CU$34:$CU$915,$CQ$34:$CQ$915,$DA4)</f>
        <v>117092000</v>
      </c>
      <c r="CW4" s="466">
        <f t="shared" ref="CW4:CW22" si="4">SUMIFS($CU$34:$CU$915,$CQ$34:$CQ$915,$CZ4)+SUMIFS($CU$34:$CU$915,$CQ$34:$CQ$915,$DB4)</f>
        <v>100114000</v>
      </c>
      <c r="CX4" s="486">
        <f t="shared" ref="CX4:CX22" si="5">CV4+CW4</f>
        <v>217206000</v>
      </c>
      <c r="CY4" s="494">
        <v>16</v>
      </c>
      <c r="CZ4" s="299">
        <v>32</v>
      </c>
      <c r="DA4" s="299">
        <v>48</v>
      </c>
      <c r="DB4" s="495">
        <v>66</v>
      </c>
      <c r="DC4" s="555">
        <f t="shared" ref="DC4:DC21" si="6">CX4/CV4</f>
        <v>1.8550029036996549</v>
      </c>
      <c r="DE4" t="s">
        <v>686</v>
      </c>
      <c r="DF4" s="296">
        <f t="shared" si="1"/>
        <v>82700</v>
      </c>
      <c r="DG4" s="478">
        <v>1</v>
      </c>
      <c r="DH4" s="296">
        <f t="shared" si="2"/>
        <v>82700</v>
      </c>
      <c r="DI4" s="477">
        <f t="shared" ref="DI4:DI6" si="7">DC4</f>
        <v>1.8550029036996549</v>
      </c>
      <c r="DJ4" s="594">
        <f t="shared" ref="DJ4:DJ18" si="8">(DI4-1)*DH4</f>
        <v>70708.74013596146</v>
      </c>
      <c r="DK4" s="286">
        <f t="shared" ref="DK4:DK18" si="9">DH4+DJ4</f>
        <v>153408.74013596145</v>
      </c>
      <c r="DL4" s="472">
        <f t="shared" ref="DL4:DL18" si="10">DH4/DK4</f>
        <v>0.53908271410550357</v>
      </c>
      <c r="DM4" s="472">
        <f t="shared" ref="DM4:DM18" si="11">1-DL4</f>
        <v>0.46091728589449643</v>
      </c>
      <c r="DN4" s="596">
        <f t="shared" ref="DN4:DN19" si="12">DK4/$DK$19</f>
        <v>4.0622326451880781E-3</v>
      </c>
      <c r="DO4" s="453">
        <v>41.75</v>
      </c>
      <c r="DP4" s="453">
        <v>92.583333333333329</v>
      </c>
      <c r="DQ4" s="453">
        <v>57.083333333333336</v>
      </c>
      <c r="DR4" s="453">
        <v>21.8</v>
      </c>
      <c r="DS4" s="453">
        <v>93.25</v>
      </c>
      <c r="DT4" s="453">
        <v>33.15</v>
      </c>
      <c r="DU4" s="453">
        <v>16.75</v>
      </c>
      <c r="DV4" s="453">
        <v>108.15</v>
      </c>
      <c r="DW4" s="453">
        <v>79.650000000000006</v>
      </c>
      <c r="DX4" s="453">
        <v>72.013155985489718</v>
      </c>
      <c r="DY4" s="408">
        <f t="shared" ref="DY4:DY18" si="13">SUMIFS($DL$33:$DL$334,$DE$33:$DE$334,$DE4)</f>
        <v>6932003993.1476479</v>
      </c>
      <c r="DZ4" s="643">
        <f t="shared" ref="DZ4:DZ18" si="14">DY4/DH4</f>
        <v>83821.088188000576</v>
      </c>
      <c r="EA4" s="643">
        <f t="shared" ref="EA4:EA19" si="15">(-1*PMT($EA$23,$EA$24,$DZ4,0.1*$DZ4))/(365*24)</f>
        <v>10.858466994947836</v>
      </c>
      <c r="EC4" s="678" t="s">
        <v>1597</v>
      </c>
      <c r="ED4" s="679">
        <f t="shared" ref="ED4:ED19" si="16">EL34*$ED$2</f>
        <v>2.4546039229289298</v>
      </c>
      <c r="EE4" s="680">
        <f t="shared" ref="EE4:EE19" si="17">EO34*ED4</f>
        <v>144.00343014516389</v>
      </c>
      <c r="EF4" s="680">
        <f t="shared" ref="EF4:EF19" si="18">EG4*EV34</f>
        <v>104.88145884246511</v>
      </c>
      <c r="EG4" s="681">
        <f>ED4/EG34</f>
        <v>1.3882317413707155</v>
      </c>
      <c r="EH4" s="682">
        <f>EG4*EA3</f>
        <v>16.374075074797361</v>
      </c>
      <c r="EI4" s="678" t="s">
        <v>690</v>
      </c>
      <c r="EJ4" s="791">
        <f>$EK$2*EL129</f>
        <v>34.530090282387398</v>
      </c>
      <c r="EK4" s="680">
        <f>EJ4</f>
        <v>34.530090282387398</v>
      </c>
      <c r="EL4" s="680">
        <f>EJ4*EO36</f>
        <v>2068.9279094197113</v>
      </c>
      <c r="EM4" s="680">
        <f>EJ4*EV36</f>
        <v>3435.0125957610862</v>
      </c>
      <c r="EN4" s="689">
        <f>EK4*FU11</f>
        <v>160.44872340815482</v>
      </c>
      <c r="EO4" s="671" t="s">
        <v>687</v>
      </c>
      <c r="EP4" s="702">
        <f t="shared" ref="EP4:EP17" si="19">$EP$2*EL92</f>
        <v>3.0869786275856335</v>
      </c>
      <c r="EQ4" s="605">
        <f t="shared" ref="EQ4:EQ17" si="20">EP4*EO92</f>
        <v>181.1027461516905</v>
      </c>
      <c r="ER4" s="605">
        <f t="shared" ref="ER4:ER17" si="21">ES4*EV92</f>
        <v>131.90185954333552</v>
      </c>
      <c r="ES4" s="703">
        <f t="shared" ref="ES4:ES17" si="22">EP4*EJ92</f>
        <v>1.7458791113777037</v>
      </c>
      <c r="ET4" s="686">
        <f>ES4*FU138</f>
        <v>20.592495322857669</v>
      </c>
      <c r="EU4" s="671" t="s">
        <v>687</v>
      </c>
      <c r="EV4" s="702">
        <f>EW4/EO114</f>
        <v>4.8418992551840567</v>
      </c>
      <c r="EW4" s="605">
        <f t="shared" ref="EW4:EW15" si="23">$EW$16*EL114</f>
        <v>284.05808963746466</v>
      </c>
      <c r="EX4" s="605">
        <f>EY4*EV114</f>
        <v>206.88692489580635</v>
      </c>
      <c r="EY4" s="702">
        <f t="shared" ref="EY4:EY15" si="24">EV4*EJ114</f>
        <v>2.7383962731328007</v>
      </c>
      <c r="EZ4" s="686">
        <f>EY4*FU138</f>
        <v>32.299150656610706</v>
      </c>
      <c r="FA4" s="671" t="s">
        <v>687</v>
      </c>
      <c r="FB4" s="702">
        <f t="shared" ref="FB4:FB15" si="25">$FB$2*EL114</f>
        <v>1.4321759890502672</v>
      </c>
      <c r="FC4" s="605">
        <f t="shared" ref="FC4:FC15" si="26">FB4*EO114</f>
        <v>84.020991357615671</v>
      </c>
      <c r="FD4" s="605">
        <f t="shared" ref="FD4:FD15" si="27">FE4*EV114</f>
        <v>61.194682224538873</v>
      </c>
      <c r="FE4" s="702">
        <f t="shared" ref="FE4:FE15" si="28">FB4*EJ114</f>
        <v>0.80998492207092632</v>
      </c>
      <c r="FF4" s="686">
        <f>FE4*FU138</f>
        <v>9.5537031233328698</v>
      </c>
      <c r="FH4">
        <v>1</v>
      </c>
      <c r="FI4" t="s">
        <v>895</v>
      </c>
      <c r="FJ4" t="s">
        <v>896</v>
      </c>
      <c r="FK4" t="s">
        <v>690</v>
      </c>
      <c r="FL4" s="286">
        <v>640631</v>
      </c>
      <c r="FM4" s="286">
        <v>66748265</v>
      </c>
      <c r="FN4" s="286">
        <v>2314075723</v>
      </c>
      <c r="FO4" s="286">
        <v>1350585685</v>
      </c>
      <c r="FP4">
        <v>2</v>
      </c>
      <c r="FQ4" s="925">
        <v>122.96653784550514</v>
      </c>
      <c r="FR4" s="926">
        <v>8207803054.2443066</v>
      </c>
      <c r="FS4">
        <v>1</v>
      </c>
      <c r="FV4" s="788">
        <f>FM4/FL4</f>
        <v>104.19143781677752</v>
      </c>
    </row>
    <row r="5" spans="1:178">
      <c r="D5" s="205"/>
      <c r="E5" s="39"/>
      <c r="F5" s="210"/>
      <c r="G5" s="39"/>
      <c r="H5" s="39"/>
      <c r="I5" s="206"/>
      <c r="L5" s="253"/>
      <c r="P5" t="s">
        <v>2</v>
      </c>
      <c r="Q5" t="s">
        <v>99</v>
      </c>
      <c r="T5" s="261" t="s">
        <v>280</v>
      </c>
      <c r="U5" s="261" t="s">
        <v>281</v>
      </c>
      <c r="V5" s="261" t="s">
        <v>282</v>
      </c>
      <c r="W5" s="261" t="s">
        <v>273</v>
      </c>
      <c r="X5" s="261" t="s">
        <v>283</v>
      </c>
      <c r="AD5" s="289"/>
      <c r="AG5" t="s">
        <v>496</v>
      </c>
      <c r="AH5" t="s">
        <v>1</v>
      </c>
      <c r="AI5" t="s">
        <v>497</v>
      </c>
      <c r="AK5" t="s">
        <v>498</v>
      </c>
      <c r="AL5" t="s">
        <v>499</v>
      </c>
      <c r="AQ5" s="205"/>
      <c r="AR5" s="39"/>
      <c r="AS5" s="210"/>
      <c r="AT5" s="39"/>
      <c r="AU5" s="39"/>
      <c r="AV5" s="206"/>
      <c r="AX5" s="254">
        <v>2019</v>
      </c>
      <c r="AY5" s="254">
        <v>3740</v>
      </c>
      <c r="AZ5" s="255" t="s">
        <v>244</v>
      </c>
      <c r="BA5" s="254">
        <v>410</v>
      </c>
      <c r="BB5" s="254">
        <v>302</v>
      </c>
      <c r="BC5" s="255" t="s">
        <v>555</v>
      </c>
      <c r="BD5" s="255" t="s">
        <v>556</v>
      </c>
      <c r="BE5" s="408">
        <f>SUMIFS(BE$32:BE$193,$BB$32:$BB$193,$BB5)</f>
        <v>431000</v>
      </c>
      <c r="BF5" s="408">
        <f>SUMIFS(BF$32:BF$193,$BB$32:$BB$193,$BB5)</f>
        <v>19320000</v>
      </c>
      <c r="BG5" s="408">
        <f>SUMIFS(BG$32:BG$193,$BB$32:$BB$193,$BB5)</f>
        <v>114557000</v>
      </c>
      <c r="BH5" s="408">
        <f>SUMIFS(BH$32:BH$193,$BB$32:$BB$193,$BB5)</f>
        <v>296000</v>
      </c>
      <c r="BI5" s="408">
        <f>SUM(BE5:BH5)</f>
        <v>134604000</v>
      </c>
      <c r="BM5" s="272">
        <v>2019</v>
      </c>
      <c r="BN5" s="272" t="s">
        <v>588</v>
      </c>
      <c r="BO5" s="272">
        <v>61</v>
      </c>
      <c r="BP5" s="441" t="s">
        <v>591</v>
      </c>
      <c r="BQ5">
        <f t="shared" si="0"/>
        <v>0</v>
      </c>
      <c r="BR5">
        <f t="shared" si="0"/>
        <v>84</v>
      </c>
      <c r="BS5">
        <f t="shared" si="0"/>
        <v>0</v>
      </c>
      <c r="BT5">
        <f t="shared" si="0"/>
        <v>90</v>
      </c>
      <c r="BU5">
        <f t="shared" si="0"/>
        <v>1012</v>
      </c>
      <c r="BV5">
        <f t="shared" si="0"/>
        <v>0</v>
      </c>
      <c r="BY5" s="479" t="s">
        <v>700</v>
      </c>
      <c r="BZ5" s="482">
        <f>SUMIFS($CD$33:$CD$64,$BY$33:$BY$64,BY5)</f>
        <v>181533</v>
      </c>
      <c r="CA5" s="482">
        <f>SUMIFS($CE$33:$CE$64,$BY$33:$BY$64,BY5)</f>
        <v>68501</v>
      </c>
      <c r="CB5" s="586">
        <f>BZ5/CA5</f>
        <v>2.6500781010496195</v>
      </c>
      <c r="CC5" s="586">
        <v>2</v>
      </c>
      <c r="CD5" s="586">
        <f>CC5*CB5</f>
        <v>5.300156202099239</v>
      </c>
      <c r="CE5" s="586">
        <f>CD5*(CA78/CD6)</f>
        <v>5.10787997781991</v>
      </c>
      <c r="CP5" s="487"/>
      <c r="CQ5" s="16"/>
      <c r="CR5" s="16" t="s">
        <v>659</v>
      </c>
      <c r="CS5" s="489">
        <f>CS7-CS3</f>
        <v>14617115000</v>
      </c>
      <c r="CT5" s="484" t="s">
        <v>690</v>
      </c>
      <c r="CU5" s="474" t="s">
        <v>392</v>
      </c>
      <c r="CV5" s="466">
        <f t="shared" si="3"/>
        <v>3860915000</v>
      </c>
      <c r="CW5" s="466">
        <f t="shared" si="4"/>
        <v>3913263000</v>
      </c>
      <c r="CX5" s="486">
        <f t="shared" si="5"/>
        <v>7774178000</v>
      </c>
      <c r="CY5" s="494">
        <v>20</v>
      </c>
      <c r="CZ5" s="299">
        <v>36</v>
      </c>
      <c r="DA5" s="299">
        <v>52</v>
      </c>
      <c r="DB5" s="495">
        <v>70</v>
      </c>
      <c r="DC5" s="555">
        <f t="shared" si="6"/>
        <v>2.0135584440475895</v>
      </c>
      <c r="DE5" t="s">
        <v>690</v>
      </c>
      <c r="DF5" s="296">
        <f t="shared" si="1"/>
        <v>4481530</v>
      </c>
      <c r="DG5" s="478">
        <v>1</v>
      </c>
      <c r="DH5" s="296">
        <f t="shared" si="2"/>
        <v>4481530</v>
      </c>
      <c r="DI5" s="477">
        <f t="shared" si="7"/>
        <v>2.0135584440475895</v>
      </c>
      <c r="DJ5" s="594">
        <f t="shared" si="8"/>
        <v>4542292.5737525942</v>
      </c>
      <c r="DK5" s="286">
        <f t="shared" si="9"/>
        <v>9023822.5737525932</v>
      </c>
      <c r="DL5" s="472">
        <f t="shared" si="10"/>
        <v>0.49663321318343889</v>
      </c>
      <c r="DM5" s="472">
        <f t="shared" si="11"/>
        <v>0.50336678681656111</v>
      </c>
      <c r="DN5" s="596">
        <f t="shared" si="12"/>
        <v>0.23894901040837072</v>
      </c>
      <c r="DO5" s="453">
        <v>36.916666666666664</v>
      </c>
      <c r="DP5" s="453">
        <v>88</v>
      </c>
      <c r="DQ5" s="453">
        <v>59.916666666666664</v>
      </c>
      <c r="DR5" s="453">
        <v>15</v>
      </c>
      <c r="DS5" s="453">
        <v>60</v>
      </c>
      <c r="DT5" s="453">
        <v>31.25</v>
      </c>
      <c r="DU5" s="453">
        <v>50</v>
      </c>
      <c r="DV5" s="453">
        <v>207.65</v>
      </c>
      <c r="DW5" s="453">
        <v>110.7</v>
      </c>
      <c r="DX5" s="453">
        <v>99.47881884088693</v>
      </c>
      <c r="DY5" s="408">
        <f t="shared" si="13"/>
        <v>395400235768.73468</v>
      </c>
      <c r="DZ5" s="643">
        <f t="shared" si="14"/>
        <v>88228.849470768837</v>
      </c>
      <c r="EA5" s="643">
        <f t="shared" si="15"/>
        <v>11.429463285322885</v>
      </c>
      <c r="EC5" s="671" t="s">
        <v>686</v>
      </c>
      <c r="ED5" s="667">
        <f t="shared" si="16"/>
        <v>0.30371947709404123</v>
      </c>
      <c r="EE5" s="605">
        <f t="shared" si="17"/>
        <v>17.337320150784855</v>
      </c>
      <c r="EF5" s="605">
        <f t="shared" si="18"/>
        <v>11.790708271228585</v>
      </c>
      <c r="EG5" s="672">
        <f t="shared" ref="EG5:EG19" si="29">ED5/EG35</f>
        <v>0.16372992003856007</v>
      </c>
      <c r="EH5" s="673">
        <f t="shared" ref="EH5:EH19" si="30">EG5*EA4</f>
        <v>1.7778559328241528</v>
      </c>
      <c r="EI5" s="671" t="s">
        <v>688</v>
      </c>
      <c r="EJ5" s="791">
        <f t="shared" ref="EJ5:EJ9" si="31">$EK$2*EL130</f>
        <v>2.232488134262451</v>
      </c>
      <c r="EK5" s="605">
        <f t="shared" ref="EK5:EK9" si="32">EJ5</f>
        <v>2.232488134262451</v>
      </c>
      <c r="EL5" s="605">
        <f>EJ5*EO39</f>
        <v>128.74014907580133</v>
      </c>
      <c r="EM5" s="605">
        <f>EJ5*EV39</f>
        <v>213.33753396586641</v>
      </c>
      <c r="EN5" s="686">
        <f>EK5*FU26</f>
        <v>0.37610921829393157</v>
      </c>
      <c r="EO5" s="671" t="s">
        <v>686</v>
      </c>
      <c r="EP5" s="702">
        <f t="shared" si="19"/>
        <v>0.38196611918229062</v>
      </c>
      <c r="EQ5" s="605">
        <f t="shared" si="20"/>
        <v>21.803899303322424</v>
      </c>
      <c r="ER5" s="605">
        <f t="shared" si="21"/>
        <v>14.828324886708677</v>
      </c>
      <c r="ES5" s="703">
        <f t="shared" si="22"/>
        <v>0.20591133222513547</v>
      </c>
      <c r="ET5" s="686">
        <f>ES5*FU157</f>
        <v>2.2358814048523721</v>
      </c>
      <c r="EU5" s="671" t="s">
        <v>686</v>
      </c>
      <c r="EV5" s="702">
        <f t="shared" ref="EV5:EV15" si="33">EW5/EO115</f>
        <v>0.61572821640972253</v>
      </c>
      <c r="EW5" s="605">
        <f t="shared" si="23"/>
        <v>35.147819020054996</v>
      </c>
      <c r="EX5" s="605">
        <f t="shared" ref="EX5:EX15" si="34">EY5*EV115</f>
        <v>23.90321438556623</v>
      </c>
      <c r="EY5" s="702">
        <f t="shared" si="24"/>
        <v>0.33192843805349409</v>
      </c>
      <c r="EZ5" s="686">
        <f>EY5*FU157</f>
        <v>3.6042339892884523</v>
      </c>
      <c r="FA5" s="671" t="s">
        <v>686</v>
      </c>
      <c r="FB5" s="702">
        <f t="shared" si="25"/>
        <v>0.17720974795068101</v>
      </c>
      <c r="FC5" s="605">
        <f t="shared" si="26"/>
        <v>10.115723112184709</v>
      </c>
      <c r="FD5" s="605">
        <f t="shared" si="27"/>
        <v>6.8794680568262461</v>
      </c>
      <c r="FE5" s="702">
        <f t="shared" si="28"/>
        <v>9.5530711891205322E-2</v>
      </c>
      <c r="FF5" s="686">
        <f>FE5*FU157</f>
        <v>1.0373170820745237</v>
      </c>
      <c r="FH5">
        <v>1</v>
      </c>
      <c r="FI5" t="s">
        <v>901</v>
      </c>
      <c r="FJ5" t="s">
        <v>902</v>
      </c>
      <c r="FK5" t="s">
        <v>690</v>
      </c>
      <c r="FL5" s="286">
        <v>391703</v>
      </c>
      <c r="FM5" s="286">
        <v>39830838</v>
      </c>
      <c r="FN5" s="286">
        <v>1584015892</v>
      </c>
      <c r="FO5" s="286">
        <v>755167163</v>
      </c>
      <c r="FP5">
        <v>2</v>
      </c>
      <c r="FQ5" s="925">
        <v>122.96653784550514</v>
      </c>
      <c r="FR5" s="926">
        <v>4897860248.3451843</v>
      </c>
      <c r="FS5">
        <v>1</v>
      </c>
      <c r="FV5" s="788">
        <f t="shared" ref="FV5:FV10" si="35">FM5/FL5</f>
        <v>101.68632356657979</v>
      </c>
    </row>
    <row r="6" spans="1:178" ht="16" customHeight="1">
      <c r="D6" s="208" t="s">
        <v>2</v>
      </c>
      <c r="E6" s="209" t="s">
        <v>99</v>
      </c>
      <c r="F6" s="209" t="s">
        <v>36</v>
      </c>
      <c r="G6" s="209" t="s">
        <v>235</v>
      </c>
      <c r="H6" s="209" t="s">
        <v>118</v>
      </c>
      <c r="I6" s="207" t="s">
        <v>236</v>
      </c>
      <c r="L6" s="253"/>
      <c r="P6" s="336">
        <v>2019</v>
      </c>
      <c r="Q6" s="254">
        <v>29</v>
      </c>
      <c r="R6" s="256" t="s">
        <v>263</v>
      </c>
      <c r="S6" s="256" t="s">
        <v>481</v>
      </c>
      <c r="T6" s="339">
        <f>SUMIFS(T$31:T$171,$M$31:$M$171,$P6,$Q$31:$Q$171,$Q6)</f>
        <v>1439000</v>
      </c>
      <c r="U6" s="339">
        <f>SUMIFS(U$31:U$171,$M$31:$M$171,$P6,$Q$31:$Q$171,$Q6)</f>
        <v>2255000</v>
      </c>
      <c r="V6" s="339">
        <f>SUMIFS(V$31:V$171,$M$31:$M$171,$P6,$Q$31:$Q$171,$Q6)</f>
        <v>6286000</v>
      </c>
      <c r="W6" s="339">
        <f>SUMIFS(W$31:W$171,$M$31:$M$171,$P6,$Q$31:$Q$171,$Q6)</f>
        <v>123000</v>
      </c>
      <c r="X6" s="339">
        <f>SUMIFS(X$31:X$171,$M$31:$M$171,$P6,$Q$31:$Q$171,$Q6)</f>
        <v>10103000</v>
      </c>
      <c r="AC6">
        <v>2019</v>
      </c>
      <c r="AD6" s="289" t="s">
        <v>489</v>
      </c>
      <c r="AE6">
        <v>55</v>
      </c>
      <c r="AF6" t="s">
        <v>495</v>
      </c>
      <c r="AG6" s="286">
        <f>(SUMIFS($AG$33:AG$179,$AE$33:$AE$179,$AE6)+SUMIFS($AH$33:$AH$179,$AE$33:$AE$179,$AE6))</f>
        <v>294222</v>
      </c>
      <c r="AH6" s="286">
        <f>(AG6+AI6)/2</f>
        <v>282522</v>
      </c>
      <c r="AI6" s="286">
        <f t="shared" ref="AI6:AI23" si="36">(SUMIFS($AI$33:$AI$179,$AE$33:$AE$179,$AE6)+SUMIFS($AJ$33:$AJ$179,$AE$33:$AE$179,$AE6))</f>
        <v>270822</v>
      </c>
      <c r="AJ6" s="286"/>
      <c r="AK6" s="286">
        <f t="shared" ref="AK6:AK23" si="37">SUMIFS($AK$33:$AK$179,$AE$33:$AE$179,$AE6)</f>
        <v>27943239</v>
      </c>
      <c r="AL6" s="286">
        <f>AK6/AI6</f>
        <v>103.17935396681214</v>
      </c>
      <c r="AQ6" s="208" t="s">
        <v>2</v>
      </c>
      <c r="AR6" s="388" t="s">
        <v>99</v>
      </c>
      <c r="AS6" s="388" t="s">
        <v>547</v>
      </c>
      <c r="AT6" s="388" t="s">
        <v>235</v>
      </c>
      <c r="AU6" s="388" t="s">
        <v>118</v>
      </c>
      <c r="AV6" s="207" t="s">
        <v>236</v>
      </c>
      <c r="AX6" s="254">
        <v>2019</v>
      </c>
      <c r="AY6" s="254">
        <v>3740</v>
      </c>
      <c r="AZ6" s="255" t="s">
        <v>244</v>
      </c>
      <c r="BA6" s="254">
        <v>410</v>
      </c>
      <c r="BB6" s="254">
        <v>309</v>
      </c>
      <c r="BC6" s="255" t="s">
        <v>555</v>
      </c>
      <c r="BD6" s="255" t="s">
        <v>200</v>
      </c>
      <c r="BE6" s="408">
        <f>SUMIFS(BE$32:BE$193,$BB$32:$BB$193,$BB6)</f>
        <v>0</v>
      </c>
      <c r="BF6" s="408">
        <f>SUMIFS(BF$32:BF$193,$BB$32:$BB$193,$BB6)</f>
        <v>0</v>
      </c>
      <c r="BG6" s="408">
        <f>SUMIFS(BG$32:BG$193,$BB$32:$BB$193,$BB6)</f>
        <v>0</v>
      </c>
      <c r="BH6" s="408">
        <f>SUMIFS(BH$32:BH$193,$BB$32:$BB$193,$BB6)*BE27</f>
        <v>197439.64789920693</v>
      </c>
      <c r="BI6" s="408">
        <f t="shared" ref="BI6:BI8" si="38">SUM(BE6:BH6)</f>
        <v>197439.64789920693</v>
      </c>
      <c r="BM6" s="272">
        <v>2019</v>
      </c>
      <c r="BN6" s="272" t="s">
        <v>588</v>
      </c>
      <c r="BO6" s="272">
        <v>62</v>
      </c>
      <c r="BP6" s="441" t="s">
        <v>592</v>
      </c>
      <c r="BQ6">
        <f t="shared" si="0"/>
        <v>0</v>
      </c>
      <c r="BR6">
        <f t="shared" si="0"/>
        <v>0</v>
      </c>
      <c r="BS6">
        <f t="shared" si="0"/>
        <v>0</v>
      </c>
      <c r="BT6">
        <f t="shared" si="0"/>
        <v>0</v>
      </c>
      <c r="BU6">
        <f t="shared" si="0"/>
        <v>0</v>
      </c>
      <c r="BV6">
        <f t="shared" si="0"/>
        <v>0</v>
      </c>
      <c r="BY6" t="s">
        <v>283</v>
      </c>
      <c r="BZ6">
        <f>BZ4+BZ5</f>
        <v>210043</v>
      </c>
      <c r="CA6">
        <f>CA4+CA5</f>
        <v>76151</v>
      </c>
      <c r="CB6" s="453">
        <f>BZ6/CA6</f>
        <v>2.7582434899082089</v>
      </c>
      <c r="CC6" s="453">
        <f>((CC4*BZ4)+(CC5*BZ5))/(BZ6)</f>
        <v>1.864265888413325</v>
      </c>
      <c r="CD6" s="453">
        <f>((CD4*CA4)+(CD5*CA5))/(CA4+CA5)</f>
        <v>5.1420992501739953</v>
      </c>
      <c r="CE6" s="453">
        <f>((CE4*CA4)+(CE5*CA5))/CA6</f>
        <v>4.955556931232258</v>
      </c>
      <c r="CF6" s="296"/>
      <c r="CG6" s="286"/>
      <c r="CH6" s="286"/>
      <c r="CI6" s="286"/>
      <c r="CJ6" s="286"/>
      <c r="CP6" s="479"/>
      <c r="CQ6" s="482"/>
      <c r="CR6" s="482" t="s">
        <v>660</v>
      </c>
      <c r="CS6" s="490">
        <f>CS8-CS4</f>
        <v>13476538000</v>
      </c>
      <c r="CT6" s="484" t="s">
        <v>689</v>
      </c>
      <c r="CU6" s="474" t="s">
        <v>391</v>
      </c>
      <c r="CV6" s="466">
        <f t="shared" si="3"/>
        <v>375189000</v>
      </c>
      <c r="CW6" s="466">
        <f t="shared" si="4"/>
        <v>366339000</v>
      </c>
      <c r="CX6" s="486">
        <f t="shared" si="5"/>
        <v>741528000</v>
      </c>
      <c r="CY6" s="494">
        <v>19</v>
      </c>
      <c r="CZ6" s="299">
        <v>35</v>
      </c>
      <c r="DA6" s="299">
        <v>51</v>
      </c>
      <c r="DB6" s="495">
        <v>69</v>
      </c>
      <c r="DC6" s="555">
        <f t="shared" si="6"/>
        <v>1.9764118884082422</v>
      </c>
      <c r="DE6" t="s">
        <v>689</v>
      </c>
      <c r="DF6" s="296">
        <f t="shared" si="1"/>
        <v>503778</v>
      </c>
      <c r="DG6" s="478">
        <v>1</v>
      </c>
      <c r="DH6" s="296">
        <f t="shared" si="2"/>
        <v>503778</v>
      </c>
      <c r="DI6" s="477">
        <f t="shared" si="7"/>
        <v>1.9764118884082422</v>
      </c>
      <c r="DJ6" s="594">
        <f t="shared" si="8"/>
        <v>491894.82831852743</v>
      </c>
      <c r="DK6" s="286">
        <f t="shared" si="9"/>
        <v>995672.82831852743</v>
      </c>
      <c r="DL6" s="472">
        <f t="shared" si="10"/>
        <v>0.50596740783894878</v>
      </c>
      <c r="DM6" s="472">
        <f t="shared" si="11"/>
        <v>0.49403259216105122</v>
      </c>
      <c r="DN6" s="596">
        <f t="shared" si="12"/>
        <v>2.6365216633274048E-2</v>
      </c>
      <c r="DO6" s="453">
        <v>28.833333333333332</v>
      </c>
      <c r="DP6" s="453">
        <v>87.833333333333329</v>
      </c>
      <c r="DQ6" s="453">
        <v>57.166666666666664</v>
      </c>
      <c r="DR6" s="453">
        <v>20.2</v>
      </c>
      <c r="DS6" s="453">
        <v>72.5</v>
      </c>
      <c r="DT6" s="453">
        <v>33.15</v>
      </c>
      <c r="DU6" s="453">
        <v>38</v>
      </c>
      <c r="DV6" s="453">
        <v>122.8</v>
      </c>
      <c r="DW6" s="453">
        <v>105.05</v>
      </c>
      <c r="DX6" s="453">
        <v>92.097558845364432</v>
      </c>
      <c r="DY6" s="408">
        <f t="shared" si="13"/>
        <v>46463707272.619019</v>
      </c>
      <c r="DZ6" s="643">
        <f t="shared" si="14"/>
        <v>92230.520730597636</v>
      </c>
      <c r="EA6" s="643">
        <f t="shared" si="15"/>
        <v>11.947853301950026</v>
      </c>
      <c r="EC6" s="671" t="s">
        <v>690</v>
      </c>
      <c r="ED6" s="667">
        <f t="shared" si="16"/>
        <v>17.865414128690031</v>
      </c>
      <c r="EE6" s="605">
        <f t="shared" si="17"/>
        <v>1070.4360632106777</v>
      </c>
      <c r="EF6" s="605">
        <f t="shared" si="18"/>
        <v>882.63159228338418</v>
      </c>
      <c r="EG6" s="672">
        <f t="shared" si="29"/>
        <v>8.872558023584137</v>
      </c>
      <c r="EH6" s="673">
        <f t="shared" si="30"/>
        <v>101.40857617745188</v>
      </c>
      <c r="EI6" s="671" t="s">
        <v>691</v>
      </c>
      <c r="EJ6" s="791">
        <f t="shared" si="31"/>
        <v>5.8539135110845137</v>
      </c>
      <c r="EK6" s="605">
        <f t="shared" si="32"/>
        <v>5.8539135110845137</v>
      </c>
      <c r="EL6" s="605">
        <f>EJ6*EO40</f>
        <v>298.54958906531022</v>
      </c>
      <c r="EM6" s="605">
        <f>EJ6*EV40</f>
        <v>595.97483350079153</v>
      </c>
      <c r="EN6" s="686">
        <f>EK6*FU31</f>
        <v>2.271886033853435</v>
      </c>
      <c r="EO6" s="671" t="s">
        <v>690</v>
      </c>
      <c r="EP6" s="702">
        <f t="shared" si="19"/>
        <v>22.468045077686185</v>
      </c>
      <c r="EQ6" s="605">
        <f t="shared" si="20"/>
        <v>1346.2103675713638</v>
      </c>
      <c r="ER6" s="605">
        <f t="shared" si="21"/>
        <v>1110.0222060101278</v>
      </c>
      <c r="ES6" s="703">
        <f t="shared" si="22"/>
        <v>11.158377420881639</v>
      </c>
      <c r="ET6" s="686">
        <f>ES6*FU226</f>
        <v>198.38050066005272</v>
      </c>
      <c r="EU6" s="671" t="s">
        <v>690</v>
      </c>
      <c r="EV6" s="702">
        <f t="shared" si="33"/>
        <v>34.50572696092464</v>
      </c>
      <c r="EW6" s="605">
        <f t="shared" si="23"/>
        <v>2067.4681404087346</v>
      </c>
      <c r="EX6" s="605">
        <f t="shared" si="34"/>
        <v>1704.7376853978233</v>
      </c>
      <c r="EY6" s="702">
        <f t="shared" si="24"/>
        <v>17.136690053834421</v>
      </c>
      <c r="EZ6" s="686">
        <f>EY6*FU226</f>
        <v>304.66662170557879</v>
      </c>
      <c r="FA6" s="671" t="s">
        <v>690</v>
      </c>
      <c r="FB6" s="702">
        <f t="shared" si="25"/>
        <v>10.423847574975984</v>
      </c>
      <c r="FC6" s="605">
        <f t="shared" si="26"/>
        <v>624.5622005339776</v>
      </c>
      <c r="FD6" s="605">
        <f t="shared" si="27"/>
        <v>514.9848257950772</v>
      </c>
      <c r="FE6" s="702">
        <f t="shared" si="28"/>
        <v>5.1768289148947204</v>
      </c>
      <c r="FF6" s="686">
        <f>FE6*FU226</f>
        <v>92.03685027236773</v>
      </c>
      <c r="FH6">
        <v>1</v>
      </c>
      <c r="FI6" t="s">
        <v>907</v>
      </c>
      <c r="FJ6" t="s">
        <v>908</v>
      </c>
      <c r="FK6" t="s">
        <v>690</v>
      </c>
      <c r="FL6" s="286">
        <v>244857</v>
      </c>
      <c r="FM6" s="286">
        <v>25749095</v>
      </c>
      <c r="FN6" s="286">
        <v>935517350.00000012</v>
      </c>
      <c r="FO6" s="286">
        <v>497490199</v>
      </c>
      <c r="FP6">
        <v>3</v>
      </c>
      <c r="FQ6" s="925">
        <v>679.18710494589243</v>
      </c>
      <c r="FR6" s="926">
        <v>17488453288.026752</v>
      </c>
      <c r="FS6">
        <v>1</v>
      </c>
      <c r="FV6" s="788">
        <f t="shared" si="35"/>
        <v>105.15972588082023</v>
      </c>
    </row>
    <row r="7" spans="1:178" ht="16" customHeight="1">
      <c r="D7" s="341">
        <v>2019</v>
      </c>
      <c r="E7" s="28">
        <v>93</v>
      </c>
      <c r="F7" s="28">
        <f t="shared" ref="F7:F16" si="39">SUMIFS(I$22:I$235,$A$22:$A$235,$D7,$E$22:$E$235,$E7)</f>
        <v>2039</v>
      </c>
      <c r="G7" s="342">
        <f t="shared" ref="G7:G16" si="40">SUMIFS(J$22:J$235,$A$22:$A$235,$D7,$E$22:$E$235,$E7)</f>
        <v>72748</v>
      </c>
      <c r="H7" s="343">
        <f t="shared" ref="H7:H16" si="41">SUMIFS(K$22:K$235,$A$22:$A$235,$D7,$E$22:$E$235,$E7)</f>
        <v>212082000</v>
      </c>
      <c r="I7" s="344" t="s">
        <v>233</v>
      </c>
      <c r="L7" s="253"/>
      <c r="P7" s="336">
        <v>2019</v>
      </c>
      <c r="Q7" s="254">
        <v>220</v>
      </c>
      <c r="R7" s="255" t="s">
        <v>36</v>
      </c>
      <c r="S7" s="255" t="s">
        <v>203</v>
      </c>
      <c r="T7" s="339">
        <f t="shared" ref="T7:X16" si="42">SUMIFS(T$32:T$171,$M$32:$M$171,$P7,$Q$32:$Q$171,$Q7)</f>
        <v>39538000</v>
      </c>
      <c r="U7" s="339">
        <f t="shared" si="42"/>
        <v>12499000</v>
      </c>
      <c r="V7" s="339">
        <f t="shared" si="42"/>
        <v>19376000</v>
      </c>
      <c r="W7" s="339">
        <f t="shared" si="42"/>
        <v>14209000</v>
      </c>
      <c r="X7" s="339">
        <f t="shared" si="42"/>
        <v>85622000</v>
      </c>
      <c r="AC7" s="272">
        <v>2019</v>
      </c>
      <c r="AD7" s="272" t="s">
        <v>489</v>
      </c>
      <c r="AE7" s="272">
        <v>36</v>
      </c>
      <c r="AF7" s="274" t="s">
        <v>387</v>
      </c>
      <c r="AG7" s="286">
        <f>(SUMIFS($AG$33:AG$179,$AE$33:$AE$179,$AE7)+SUMIFS($AH$33:$AH$179,$AE$33:$AE$179,$AE7))</f>
        <v>0</v>
      </c>
      <c r="AH7" s="286">
        <f t="shared" ref="AH7:AH23" si="43">(AG7+AI7)/2</f>
        <v>0</v>
      </c>
      <c r="AI7" s="286">
        <f t="shared" si="36"/>
        <v>0</v>
      </c>
      <c r="AK7" s="286">
        <f t="shared" si="37"/>
        <v>0</v>
      </c>
      <c r="AL7" s="286" t="s">
        <v>500</v>
      </c>
      <c r="AQ7" s="341">
        <v>2019</v>
      </c>
      <c r="AR7" s="28">
        <v>97</v>
      </c>
      <c r="AS7" s="28">
        <f t="shared" ref="AS7:AS16" si="44">SUMIFS(I$22:I$235,$A$22:$A$235,$AQ7,$E$22:$E$235,$AR7)</f>
        <v>1256</v>
      </c>
      <c r="AT7" s="28">
        <f t="shared" ref="AT7:AT16" si="45">SUMIFS(J$22:J$235,$A$22:$A$235,$AQ7,$E$22:$E$235,$AR7)</f>
        <v>6500</v>
      </c>
      <c r="AU7" s="387">
        <f t="shared" ref="AU7:AU16" si="46">SUMIFS(K$22:K$235,$A$22:$A$235,$AQ7,$E$22:$E$235,$AR7)</f>
        <v>13517000</v>
      </c>
      <c r="AV7" s="344" t="s">
        <v>233</v>
      </c>
      <c r="AX7" s="254">
        <v>2019</v>
      </c>
      <c r="AY7" s="254">
        <v>3740</v>
      </c>
      <c r="AZ7" s="255" t="s">
        <v>244</v>
      </c>
      <c r="BA7" s="254">
        <v>410</v>
      </c>
      <c r="BB7" s="254">
        <v>311</v>
      </c>
      <c r="BC7" s="255" t="s">
        <v>555</v>
      </c>
      <c r="BD7" s="255" t="s">
        <v>137</v>
      </c>
      <c r="BE7" s="408">
        <f>SUMIFS(BE$32:BE$193,$BB$32:$BB$193,$BB7)</f>
        <v>0</v>
      </c>
      <c r="BF7" s="408">
        <f>SUMIFS(BF$32:BF$193,$BB$32:$BB$193,$BB7)</f>
        <v>0</v>
      </c>
      <c r="BG7" s="408">
        <f>SUMIFS(BG$32:BG$193,$BB$32:$BB$193,$BB7)*BG27</f>
        <v>33440207.662167177</v>
      </c>
      <c r="BH7" s="408">
        <f>SUMIFS(BH$32:BH$193,$BB$32:$BB$193,$BB7)</f>
        <v>0</v>
      </c>
      <c r="BI7" s="408">
        <f t="shared" si="38"/>
        <v>33440207.662167177</v>
      </c>
      <c r="BM7" s="272">
        <v>2019</v>
      </c>
      <c r="BN7" s="272" t="s">
        <v>588</v>
      </c>
      <c r="BO7" s="272">
        <v>63</v>
      </c>
      <c r="BP7" s="441" t="s">
        <v>593</v>
      </c>
      <c r="BQ7">
        <f t="shared" si="0"/>
        <v>0</v>
      </c>
      <c r="BR7">
        <f t="shared" si="0"/>
        <v>0</v>
      </c>
      <c r="BS7">
        <f t="shared" si="0"/>
        <v>0</v>
      </c>
      <c r="BT7">
        <f t="shared" si="0"/>
        <v>0</v>
      </c>
      <c r="BU7">
        <f t="shared" si="0"/>
        <v>0</v>
      </c>
      <c r="BV7">
        <f t="shared" si="0"/>
        <v>0</v>
      </c>
      <c r="CP7" s="480">
        <v>30</v>
      </c>
      <c r="CQ7" s="4">
        <v>64</v>
      </c>
      <c r="CR7" s="4" t="s">
        <v>658</v>
      </c>
      <c r="CS7" s="496">
        <f>SUMIFS(CU34:CU915,CQ34:CQ915,CP7)+SUMIFS(CU34:CU915,CQ34:CQ915,CQ7)</f>
        <v>19066041000</v>
      </c>
      <c r="CT7" s="497" t="s">
        <v>694</v>
      </c>
      <c r="CU7" s="498" t="s">
        <v>399</v>
      </c>
      <c r="CV7" s="499">
        <f t="shared" si="3"/>
        <v>1741000</v>
      </c>
      <c r="CW7" s="499">
        <f t="shared" si="4"/>
        <v>2234000</v>
      </c>
      <c r="CX7" s="500">
        <f t="shared" si="5"/>
        <v>3975000</v>
      </c>
      <c r="CY7" s="501">
        <v>27</v>
      </c>
      <c r="CZ7" s="502">
        <v>43</v>
      </c>
      <c r="DA7" s="502">
        <v>59</v>
      </c>
      <c r="DB7" s="503">
        <v>77</v>
      </c>
      <c r="DC7" s="504">
        <f t="shared" si="6"/>
        <v>2.2831705916140148</v>
      </c>
      <c r="DE7" t="s">
        <v>694</v>
      </c>
      <c r="DF7" s="296">
        <f t="shared" si="1"/>
        <v>517423</v>
      </c>
      <c r="DG7" s="478">
        <v>1</v>
      </c>
      <c r="DH7" s="296">
        <f t="shared" si="2"/>
        <v>517423</v>
      </c>
      <c r="DI7" s="477">
        <f>DC24</f>
        <v>1.9706081166505121</v>
      </c>
      <c r="DJ7" s="594">
        <f t="shared" si="8"/>
        <v>502214.9635416579</v>
      </c>
      <c r="DK7" s="286">
        <f t="shared" si="9"/>
        <v>1019637.9635416579</v>
      </c>
      <c r="DL7" s="472">
        <f t="shared" si="10"/>
        <v>0.50745756680416143</v>
      </c>
      <c r="DM7" s="472">
        <f t="shared" si="11"/>
        <v>0.49254243319583857</v>
      </c>
      <c r="DN7" s="596">
        <f t="shared" si="12"/>
        <v>2.6999808603480356E-2</v>
      </c>
      <c r="DO7" s="453">
        <v>24</v>
      </c>
      <c r="DP7" s="453">
        <v>187.41666666666666</v>
      </c>
      <c r="DQ7" s="453">
        <v>80.416666666666671</v>
      </c>
      <c r="DR7" s="453">
        <v>0.05</v>
      </c>
      <c r="DS7" s="453">
        <v>265.25</v>
      </c>
      <c r="DT7" s="453">
        <v>32.1</v>
      </c>
      <c r="DU7" s="453">
        <v>0.05</v>
      </c>
      <c r="DV7" s="453">
        <v>499.99950000000001</v>
      </c>
      <c r="DW7" s="453">
        <v>102.45</v>
      </c>
      <c r="DX7" s="453">
        <v>83.444147245097341</v>
      </c>
      <c r="DY7" s="408">
        <f t="shared" si="13"/>
        <v>60938401262.354317</v>
      </c>
      <c r="DZ7" s="643">
        <f t="shared" si="14"/>
        <v>117772.88845365266</v>
      </c>
      <c r="EA7" s="643">
        <f t="shared" si="15"/>
        <v>15.256697924338475</v>
      </c>
      <c r="EC7" s="671" t="s">
        <v>689</v>
      </c>
      <c r="ED7" s="667">
        <f t="shared" si="16"/>
        <v>1.9712386041736329</v>
      </c>
      <c r="EE7" s="605">
        <f t="shared" si="17"/>
        <v>112.68914020525935</v>
      </c>
      <c r="EF7" s="605">
        <f t="shared" si="18"/>
        <v>91.856492268091188</v>
      </c>
      <c r="EG7" s="672">
        <f t="shared" si="29"/>
        <v>0.99738248678580066</v>
      </c>
      <c r="EH7" s="673">
        <f t="shared" si="30"/>
        <v>11.916579638050857</v>
      </c>
      <c r="EI7" s="671" t="s">
        <v>697</v>
      </c>
      <c r="EJ7" s="791">
        <f t="shared" si="31"/>
        <v>22.324183933983061</v>
      </c>
      <c r="EK7" s="605">
        <f t="shared" si="32"/>
        <v>22.324183933983061</v>
      </c>
      <c r="EL7" s="605">
        <f>EJ7*EO41</f>
        <v>1185.0420971622675</v>
      </c>
      <c r="EM7" s="605">
        <f>EJ7*EV41</f>
        <v>2620.5746957271936</v>
      </c>
      <c r="EN7" s="686">
        <f>EK7*FU36</f>
        <v>14.444066048062592</v>
      </c>
      <c r="EO7" s="671" t="s">
        <v>689</v>
      </c>
      <c r="EP7" s="702">
        <f t="shared" si="19"/>
        <v>2.4790848674659807</v>
      </c>
      <c r="EQ7" s="605">
        <f t="shared" si="20"/>
        <v>141.72101825680522</v>
      </c>
      <c r="ER7" s="605">
        <f t="shared" si="21"/>
        <v>115.52129685274387</v>
      </c>
      <c r="ES7" s="703">
        <f t="shared" si="22"/>
        <v>1.2543361442045262</v>
      </c>
      <c r="ET7" s="686">
        <f>ES7*FU242</f>
        <v>16.172171494105044</v>
      </c>
      <c r="EU7" s="671" t="s">
        <v>689</v>
      </c>
      <c r="EV7" s="702">
        <f t="shared" si="33"/>
        <v>3.9904517505140014</v>
      </c>
      <c r="EW7" s="605">
        <f t="shared" si="23"/>
        <v>228.1208250710504</v>
      </c>
      <c r="EX7" s="605">
        <f t="shared" si="34"/>
        <v>185.94851967245336</v>
      </c>
      <c r="EY7" s="702">
        <f t="shared" si="24"/>
        <v>2.0190385283139647</v>
      </c>
      <c r="EZ7" s="686">
        <f>EY7*FU242</f>
        <v>26.031488834921731</v>
      </c>
      <c r="FA7" s="671" t="s">
        <v>689</v>
      </c>
      <c r="FB7" s="702">
        <f t="shared" si="25"/>
        <v>1.1501491426843866</v>
      </c>
      <c r="FC7" s="605">
        <f t="shared" si="26"/>
        <v>65.750192656790759</v>
      </c>
      <c r="FD7" s="605">
        <f t="shared" si="27"/>
        <v>53.59506738984004</v>
      </c>
      <c r="FE7" s="702">
        <f t="shared" si="28"/>
        <v>0.58193798035220834</v>
      </c>
      <c r="FF7" s="686">
        <f>FE7*FU242</f>
        <v>7.5029336120720904</v>
      </c>
      <c r="FH7">
        <v>20</v>
      </c>
      <c r="FI7" t="s">
        <v>961</v>
      </c>
      <c r="FJ7" t="s">
        <v>962</v>
      </c>
      <c r="FK7" t="s">
        <v>690</v>
      </c>
      <c r="FL7" s="286">
        <v>86425</v>
      </c>
      <c r="FM7" s="286">
        <v>8465994.9999999981</v>
      </c>
      <c r="FN7" s="286">
        <v>330394605</v>
      </c>
      <c r="FO7" s="286">
        <v>200805479.99999997</v>
      </c>
      <c r="FP7">
        <v>8</v>
      </c>
      <c r="FQ7" s="925">
        <v>1895.097258824158</v>
      </c>
      <c r="FR7" s="926">
        <v>16043883917.719023</v>
      </c>
      <c r="FS7">
        <v>1</v>
      </c>
      <c r="FV7" s="788">
        <f t="shared" si="35"/>
        <v>97.957708996239489</v>
      </c>
    </row>
    <row r="8" spans="1:178" ht="16" customHeight="1">
      <c r="D8" s="341">
        <v>2018</v>
      </c>
      <c r="E8" s="28">
        <v>93</v>
      </c>
      <c r="F8" s="28">
        <f t="shared" si="39"/>
        <v>1850</v>
      </c>
      <c r="G8" s="342">
        <f t="shared" si="40"/>
        <v>60003</v>
      </c>
      <c r="H8" s="343">
        <f t="shared" si="41"/>
        <v>132789000</v>
      </c>
      <c r="I8" s="344" t="s">
        <v>233</v>
      </c>
      <c r="L8" s="253"/>
      <c r="P8" s="336">
        <v>2019</v>
      </c>
      <c r="Q8" s="254">
        <v>221</v>
      </c>
      <c r="R8" s="255" t="s">
        <v>36</v>
      </c>
      <c r="S8" s="255" t="s">
        <v>197</v>
      </c>
      <c r="T8" s="339">
        <f t="shared" si="42"/>
        <v>386321000</v>
      </c>
      <c r="U8" s="339">
        <f t="shared" si="42"/>
        <v>588754000</v>
      </c>
      <c r="V8" s="339">
        <f t="shared" si="42"/>
        <v>366966000</v>
      </c>
      <c r="W8" s="339">
        <f t="shared" si="42"/>
        <v>68282000</v>
      </c>
      <c r="X8" s="339">
        <f t="shared" si="42"/>
        <v>1410323000</v>
      </c>
      <c r="AC8" s="272">
        <v>2019</v>
      </c>
      <c r="AD8" s="272" t="s">
        <v>489</v>
      </c>
      <c r="AE8" s="272">
        <v>37</v>
      </c>
      <c r="AF8" s="274" t="s">
        <v>388</v>
      </c>
      <c r="AG8" s="286">
        <f>(SUMIFS($AG$33:AG$179,$AE$33:$AE$179,$AE8)+SUMIFS($AH$33:$AH$179,$AE$33:$AE$179,$AE8))</f>
        <v>1716</v>
      </c>
      <c r="AH8" s="286">
        <f t="shared" si="43"/>
        <v>1526</v>
      </c>
      <c r="AI8" s="286">
        <f t="shared" si="36"/>
        <v>1336</v>
      </c>
      <c r="AK8" s="286">
        <f t="shared" si="37"/>
        <v>129462</v>
      </c>
      <c r="AL8" s="286">
        <f t="shared" ref="AL8:AL23" si="47">AK8/AI8</f>
        <v>96.90269461077844</v>
      </c>
      <c r="AQ8" s="341">
        <v>2018</v>
      </c>
      <c r="AR8" s="28">
        <v>97</v>
      </c>
      <c r="AS8" s="28">
        <f t="shared" si="44"/>
        <v>11574</v>
      </c>
      <c r="AT8" s="28">
        <f t="shared" si="45"/>
        <v>49021</v>
      </c>
      <c r="AU8" s="387">
        <f t="shared" si="46"/>
        <v>143064000</v>
      </c>
      <c r="AV8" s="344" t="s">
        <v>233</v>
      </c>
      <c r="AX8" s="254">
        <v>2019</v>
      </c>
      <c r="AY8" s="254">
        <v>3740</v>
      </c>
      <c r="AZ8" s="255" t="s">
        <v>244</v>
      </c>
      <c r="BA8" s="254">
        <v>410</v>
      </c>
      <c r="BB8" s="254">
        <v>320</v>
      </c>
      <c r="BC8" s="255" t="s">
        <v>555</v>
      </c>
      <c r="BD8" s="255" t="s">
        <v>202</v>
      </c>
      <c r="BE8" s="408">
        <f>SUMIFS(BE$32:BE$193,$BB$32:$BB$193,$BB8)</f>
        <v>0</v>
      </c>
      <c r="BF8" s="408">
        <f>SUMIFS(BF$32:BF$193,$BB$32:$BB$193,$BB8)</f>
        <v>0</v>
      </c>
      <c r="BG8" s="408">
        <f>SUMIFS(BG$32:BG$193,$BB$32:$BB$193,$BB8)</f>
        <v>-18864000</v>
      </c>
      <c r="BH8" s="408">
        <f>SUMIFS(BH$32:BH$193,$BB$32:$BB$193,$BB8)</f>
        <v>0</v>
      </c>
      <c r="BI8" s="408">
        <f t="shared" si="38"/>
        <v>-18864000</v>
      </c>
      <c r="BM8" s="272">
        <v>2019</v>
      </c>
      <c r="BN8" s="272" t="s">
        <v>588</v>
      </c>
      <c r="BO8" s="272">
        <v>64</v>
      </c>
      <c r="BP8" s="441" t="s">
        <v>594</v>
      </c>
      <c r="BQ8">
        <f t="shared" si="0"/>
        <v>0</v>
      </c>
      <c r="BR8">
        <f t="shared" si="0"/>
        <v>0</v>
      </c>
      <c r="BS8">
        <f t="shared" si="0"/>
        <v>0</v>
      </c>
      <c r="BT8">
        <f t="shared" si="0"/>
        <v>0</v>
      </c>
      <c r="BU8">
        <f t="shared" si="0"/>
        <v>0</v>
      </c>
      <c r="BV8">
        <f t="shared" si="0"/>
        <v>0</v>
      </c>
      <c r="CP8" s="487">
        <v>46</v>
      </c>
      <c r="CQ8" s="16">
        <v>82</v>
      </c>
      <c r="CR8" s="16" t="s">
        <v>665</v>
      </c>
      <c r="CS8" s="489">
        <f>SUMIFS(CU34:CU915,CQ34:CQ915,CQ8)+SUMIFS(CU34:CU915,CQ34:CQ915,CP8)</f>
        <v>13852045000</v>
      </c>
      <c r="CT8" s="497" t="s">
        <v>694</v>
      </c>
      <c r="CU8" s="498" t="s">
        <v>400</v>
      </c>
      <c r="CV8" s="499">
        <f t="shared" si="3"/>
        <v>591484000</v>
      </c>
      <c r="CW8" s="499">
        <f t="shared" si="4"/>
        <v>573555000</v>
      </c>
      <c r="CX8" s="500">
        <f t="shared" si="5"/>
        <v>1165039000</v>
      </c>
      <c r="CY8" s="501">
        <v>28</v>
      </c>
      <c r="CZ8" s="502">
        <v>44</v>
      </c>
      <c r="DA8" s="502">
        <v>60</v>
      </c>
      <c r="DB8" s="503">
        <v>78</v>
      </c>
      <c r="DC8" s="504">
        <f t="shared" si="6"/>
        <v>1.9696881065252823</v>
      </c>
      <c r="DE8" t="s">
        <v>688</v>
      </c>
      <c r="DF8" s="296">
        <f t="shared" si="1"/>
        <v>293496</v>
      </c>
      <c r="DG8" s="478">
        <v>1</v>
      </c>
      <c r="DH8" s="296">
        <f t="shared" si="2"/>
        <v>293496</v>
      </c>
      <c r="DI8" s="477">
        <f>DC9</f>
        <v>1.987832589432553</v>
      </c>
      <c r="DJ8" s="594">
        <f t="shared" si="8"/>
        <v>289924.91366809659</v>
      </c>
      <c r="DK8" s="286">
        <f t="shared" si="9"/>
        <v>583420.91366809653</v>
      </c>
      <c r="DL8" s="472">
        <f t="shared" si="10"/>
        <v>0.50306047164940593</v>
      </c>
      <c r="DM8" s="472">
        <f t="shared" si="11"/>
        <v>0.49693952835059407</v>
      </c>
      <c r="DN8" s="596">
        <f t="shared" si="12"/>
        <v>1.5448868684323635E-2</v>
      </c>
      <c r="DO8" s="453">
        <v>28.583333333333332</v>
      </c>
      <c r="DP8" s="453">
        <v>111.5</v>
      </c>
      <c r="DQ8" s="453">
        <v>57.666666666666664</v>
      </c>
      <c r="DR8" s="453">
        <v>18.8</v>
      </c>
      <c r="DS8" s="453">
        <v>67.5</v>
      </c>
      <c r="DT8" s="453">
        <v>34.1</v>
      </c>
      <c r="DU8" s="453">
        <v>35</v>
      </c>
      <c r="DV8" s="453">
        <v>251.65</v>
      </c>
      <c r="DW8" s="453">
        <v>106.5</v>
      </c>
      <c r="DX8" s="453">
        <v>95.560433532313894</v>
      </c>
      <c r="DY8" s="408">
        <f t="shared" si="13"/>
        <v>14351406200.874109</v>
      </c>
      <c r="DZ8" s="643">
        <f t="shared" si="14"/>
        <v>48898.13217513734</v>
      </c>
      <c r="EA8" s="643">
        <f t="shared" si="15"/>
        <v>6.3344292685326318</v>
      </c>
      <c r="EC8" s="671" t="s">
        <v>694</v>
      </c>
      <c r="ED8" s="667">
        <f t="shared" si="16"/>
        <v>2.0186849122001918</v>
      </c>
      <c r="EE8" s="605">
        <f t="shared" si="17"/>
        <v>162.33591168943209</v>
      </c>
      <c r="EF8" s="605">
        <f t="shared" si="18"/>
        <v>85.479928572202979</v>
      </c>
      <c r="EG8" s="672">
        <f t="shared" si="29"/>
        <v>1.0243969336893817</v>
      </c>
      <c r="EH8" s="673">
        <f t="shared" si="30"/>
        <v>15.628914571917488</v>
      </c>
      <c r="EI8" s="685" t="s">
        <v>698</v>
      </c>
      <c r="EJ8" s="791">
        <f t="shared" si="31"/>
        <v>16.875884351964384</v>
      </c>
      <c r="EK8" s="605">
        <f t="shared" si="32"/>
        <v>16.875884351964384</v>
      </c>
      <c r="EL8" s="605">
        <f>EJ8*EO42</f>
        <v>895.82819435010947</v>
      </c>
      <c r="EM8" s="605">
        <f>EJ8*EV42</f>
        <v>1897.8684090566692</v>
      </c>
      <c r="EN8" s="686">
        <f>EJ8*FU42</f>
        <v>9.6281329534457409</v>
      </c>
      <c r="EO8" s="671" t="s">
        <v>694</v>
      </c>
      <c r="EP8" s="702">
        <f t="shared" si="19"/>
        <v>2.5387546730373267</v>
      </c>
      <c r="EQ8" s="605">
        <f t="shared" si="20"/>
        <v>204.15818829008504</v>
      </c>
      <c r="ER8" s="605">
        <f t="shared" si="21"/>
        <v>107.50195179150187</v>
      </c>
      <c r="ES8" s="703">
        <f t="shared" si="22"/>
        <v>1.2883102690922161</v>
      </c>
      <c r="ET8" s="686">
        <f>ES8*FU274</f>
        <v>19.211741384556255</v>
      </c>
      <c r="EU8" s="671" t="s">
        <v>694</v>
      </c>
      <c r="EV8" s="702">
        <f t="shared" si="33"/>
        <v>2.9050138534765551</v>
      </c>
      <c r="EW8" s="605">
        <f t="shared" si="23"/>
        <v>233.61153071707298</v>
      </c>
      <c r="EX8" s="605">
        <f t="shared" si="34"/>
        <v>123.01096381890936</v>
      </c>
      <c r="EY8" s="702">
        <f t="shared" si="24"/>
        <v>1.4741712616175933</v>
      </c>
      <c r="EZ8" s="686">
        <f>EY8*FU274</f>
        <v>21.983366673540814</v>
      </c>
      <c r="FA8" s="671" t="s">
        <v>694</v>
      </c>
      <c r="FB8" s="702">
        <f t="shared" si="25"/>
        <v>1.1778324126775506</v>
      </c>
      <c r="FC8" s="605">
        <f t="shared" si="26"/>
        <v>94.717356519486358</v>
      </c>
      <c r="FD8" s="605">
        <f t="shared" si="27"/>
        <v>49.874564325132305</v>
      </c>
      <c r="FE8" s="702">
        <f t="shared" si="28"/>
        <v>0.59769997024042476</v>
      </c>
      <c r="FF8" s="686">
        <f>FE8*FU274</f>
        <v>8.9131147436301905</v>
      </c>
      <c r="FH8">
        <v>14</v>
      </c>
      <c r="FI8" t="s">
        <v>919</v>
      </c>
      <c r="FJ8" t="s">
        <v>920</v>
      </c>
      <c r="FK8" t="s">
        <v>690</v>
      </c>
      <c r="FL8" s="286">
        <v>480765</v>
      </c>
      <c r="FM8" s="286">
        <v>53376809</v>
      </c>
      <c r="FN8" s="286">
        <v>1931968090</v>
      </c>
      <c r="FO8" s="286">
        <v>892274308</v>
      </c>
      <c r="FP8">
        <v>11</v>
      </c>
      <c r="FQ8" s="925">
        <v>18.422893971718388</v>
      </c>
      <c r="FR8" s="926">
        <v>983355292.75566375</v>
      </c>
      <c r="FS8">
        <v>1</v>
      </c>
      <c r="FV8" s="788">
        <f t="shared" si="35"/>
        <v>111.02473973770969</v>
      </c>
    </row>
    <row r="9" spans="1:178" ht="16" customHeight="1">
      <c r="D9" s="341">
        <v>2017</v>
      </c>
      <c r="E9" s="28">
        <v>93</v>
      </c>
      <c r="F9" s="28">
        <f t="shared" si="39"/>
        <v>3425</v>
      </c>
      <c r="G9" s="342">
        <f t="shared" si="40"/>
        <v>129261</v>
      </c>
      <c r="H9" s="343">
        <f t="shared" si="41"/>
        <v>316573000</v>
      </c>
      <c r="I9" s="344" t="s">
        <v>233</v>
      </c>
      <c r="L9" s="253"/>
      <c r="P9" s="336">
        <v>2019</v>
      </c>
      <c r="Q9" s="254">
        <v>222</v>
      </c>
      <c r="R9" s="255" t="s">
        <v>36</v>
      </c>
      <c r="S9" s="255" t="s">
        <v>198</v>
      </c>
      <c r="T9" s="339">
        <f t="shared" si="42"/>
        <v>902000</v>
      </c>
      <c r="U9" s="339">
        <f t="shared" si="42"/>
        <v>4733000</v>
      </c>
      <c r="V9" s="339">
        <f t="shared" si="42"/>
        <v>15490000</v>
      </c>
      <c r="W9" s="339">
        <f t="shared" si="42"/>
        <v>0</v>
      </c>
      <c r="X9" s="339">
        <f t="shared" si="42"/>
        <v>21125000</v>
      </c>
      <c r="AC9" s="272">
        <v>2019</v>
      </c>
      <c r="AD9" s="272" t="s">
        <v>489</v>
      </c>
      <c r="AE9" s="272">
        <v>38</v>
      </c>
      <c r="AF9" s="274" t="s">
        <v>389</v>
      </c>
      <c r="AG9" s="286">
        <f>(SUMIFS($AG$33:AG$179,$AE$33:$AE$179,$AE9)+SUMIFS($AH$33:$AH$179,$AE$33:$AE$179,$AE9))</f>
        <v>32890</v>
      </c>
      <c r="AH9" s="286">
        <f t="shared" si="43"/>
        <v>30309</v>
      </c>
      <c r="AI9" s="286">
        <f t="shared" si="36"/>
        <v>27728</v>
      </c>
      <c r="AK9" s="286">
        <f t="shared" si="37"/>
        <v>2333417</v>
      </c>
      <c r="AL9" s="286">
        <f t="shared" si="47"/>
        <v>84.153815637622614</v>
      </c>
      <c r="AQ9" s="341">
        <v>2017</v>
      </c>
      <c r="AR9" s="28">
        <v>97</v>
      </c>
      <c r="AS9" s="28">
        <f t="shared" si="44"/>
        <v>2000</v>
      </c>
      <c r="AT9" s="28">
        <f t="shared" si="45"/>
        <v>10300</v>
      </c>
      <c r="AU9" s="387">
        <f t="shared" si="46"/>
        <v>17418000</v>
      </c>
      <c r="AV9" s="344" t="s">
        <v>233</v>
      </c>
      <c r="AX9" s="254">
        <v>2019</v>
      </c>
      <c r="AY9" s="254">
        <v>3740</v>
      </c>
      <c r="AZ9" s="255" t="s">
        <v>244</v>
      </c>
      <c r="BA9" s="254">
        <v>410</v>
      </c>
      <c r="BB9" s="254">
        <v>323</v>
      </c>
      <c r="BC9" s="255" t="s">
        <v>555</v>
      </c>
      <c r="BD9" s="255" t="s">
        <v>562</v>
      </c>
      <c r="BE9" s="408">
        <f>SUM(BE5:BE8)</f>
        <v>431000</v>
      </c>
      <c r="BF9" s="408">
        <f>SUM(BF5:BF8)</f>
        <v>19320000</v>
      </c>
      <c r="BG9" s="408">
        <f>SUM(BG5:BG8)</f>
        <v>129133207.66216719</v>
      </c>
      <c r="BH9" s="408">
        <f>SUM(BH5:BH8)</f>
        <v>493439.64789920696</v>
      </c>
      <c r="BI9" s="408">
        <f>SUM(BI5:BI8)</f>
        <v>149377647.3100664</v>
      </c>
      <c r="BM9" s="272">
        <v>2019</v>
      </c>
      <c r="BN9" s="272" t="s">
        <v>588</v>
      </c>
      <c r="BO9" s="272">
        <v>65</v>
      </c>
      <c r="BP9" s="441" t="s">
        <v>595</v>
      </c>
      <c r="BQ9">
        <f t="shared" si="0"/>
        <v>0</v>
      </c>
      <c r="BR9">
        <f t="shared" si="0"/>
        <v>0</v>
      </c>
      <c r="BS9">
        <f t="shared" si="0"/>
        <v>0</v>
      </c>
      <c r="BT9">
        <f t="shared" si="0"/>
        <v>0</v>
      </c>
      <c r="BU9">
        <f t="shared" si="0"/>
        <v>0</v>
      </c>
      <c r="BV9">
        <f t="shared" si="0"/>
        <v>0</v>
      </c>
      <c r="CP9" s="487"/>
      <c r="CQ9" s="16">
        <v>83</v>
      </c>
      <c r="CR9" s="16" t="s">
        <v>667</v>
      </c>
      <c r="CS9" s="489">
        <f>SUMIFS(CU34:CU915,CQ34:CQ915,CQ9)</f>
        <v>323904000</v>
      </c>
      <c r="CT9" s="484" t="s">
        <v>688</v>
      </c>
      <c r="CU9" s="474" t="s">
        <v>390</v>
      </c>
      <c r="CV9" s="466">
        <f t="shared" si="3"/>
        <v>2325803000</v>
      </c>
      <c r="CW9" s="466">
        <f t="shared" si="4"/>
        <v>2297504000</v>
      </c>
      <c r="CX9" s="486">
        <f t="shared" si="5"/>
        <v>4623307000</v>
      </c>
      <c r="CY9" s="494">
        <v>18</v>
      </c>
      <c r="CZ9" s="299">
        <v>34</v>
      </c>
      <c r="DA9" s="299">
        <v>50</v>
      </c>
      <c r="DB9" s="495">
        <v>68</v>
      </c>
      <c r="DC9" s="555">
        <f t="shared" si="6"/>
        <v>1.987832589432553</v>
      </c>
      <c r="DE9" t="s">
        <v>691</v>
      </c>
      <c r="DF9" s="296">
        <f t="shared" si="1"/>
        <v>758141</v>
      </c>
      <c r="DG9" s="478">
        <v>1</v>
      </c>
      <c r="DH9" s="296">
        <f t="shared" si="2"/>
        <v>758141</v>
      </c>
      <c r="DI9" s="477">
        <f t="shared" ref="DI9:DI14" si="48">DC10</f>
        <v>2.0178512661050467</v>
      </c>
      <c r="DJ9" s="594">
        <f t="shared" si="8"/>
        <v>771674.77673614619</v>
      </c>
      <c r="DK9" s="286">
        <f t="shared" si="9"/>
        <v>1529815.7767361463</v>
      </c>
      <c r="DL9" s="472">
        <f t="shared" si="10"/>
        <v>0.49557666454289662</v>
      </c>
      <c r="DM9" s="472">
        <f t="shared" si="11"/>
        <v>0.50442333545710338</v>
      </c>
      <c r="DN9" s="596">
        <f t="shared" si="12"/>
        <v>4.0509214689291098E-2</v>
      </c>
      <c r="DO9" s="453">
        <v>32.333333333333336</v>
      </c>
      <c r="DP9" s="453">
        <v>75.583333333333329</v>
      </c>
      <c r="DQ9" s="453">
        <v>51</v>
      </c>
      <c r="DR9" s="453">
        <v>17</v>
      </c>
      <c r="DS9" s="453">
        <v>45.9</v>
      </c>
      <c r="DT9" s="453">
        <v>28.4</v>
      </c>
      <c r="DU9" s="453">
        <v>70</v>
      </c>
      <c r="DV9" s="453">
        <v>122.5</v>
      </c>
      <c r="DW9" s="453">
        <v>112.45</v>
      </c>
      <c r="DX9" s="453">
        <v>101.80793282516049</v>
      </c>
      <c r="DY9" s="408">
        <f t="shared" si="13"/>
        <v>4611573831.9737415</v>
      </c>
      <c r="DZ9" s="643">
        <f t="shared" si="14"/>
        <v>6082.7390049789437</v>
      </c>
      <c r="EA9" s="643">
        <f t="shared" si="15"/>
        <v>0.78797856425229518</v>
      </c>
      <c r="EC9" s="671" t="s">
        <v>688</v>
      </c>
      <c r="ED9" s="667">
        <f t="shared" si="16"/>
        <v>1.1550599702986832</v>
      </c>
      <c r="EE9" s="605">
        <f t="shared" si="17"/>
        <v>66.608458287224067</v>
      </c>
      <c r="EF9" s="605">
        <f t="shared" si="18"/>
        <v>55.526824594958626</v>
      </c>
      <c r="EG9" s="672">
        <f t="shared" si="29"/>
        <v>0.58106501344180439</v>
      </c>
      <c r="EH9" s="673">
        <f t="shared" si="30"/>
        <v>3.6807152280660729</v>
      </c>
      <c r="EI9" s="671" t="s">
        <v>695</v>
      </c>
      <c r="EJ9" s="791">
        <f t="shared" si="31"/>
        <v>27.068594157663703</v>
      </c>
      <c r="EK9" s="605">
        <f t="shared" si="32"/>
        <v>27.068594157663703</v>
      </c>
      <c r="EL9" s="605">
        <f>EJ9*EO48</f>
        <v>1606.0699200213799</v>
      </c>
      <c r="EM9" s="605">
        <f>EJ9*EV48</f>
        <v>2344.6241529129907</v>
      </c>
      <c r="EN9" s="686">
        <f>EK9*FU56</f>
        <v>139.74886209739211</v>
      </c>
      <c r="EO9" s="671" t="s">
        <v>688</v>
      </c>
      <c r="EP9" s="702">
        <f t="shared" si="19"/>
        <v>1.4526357627739241</v>
      </c>
      <c r="EQ9" s="605">
        <f t="shared" si="20"/>
        <v>83.768662319962957</v>
      </c>
      <c r="ER9" s="605">
        <f t="shared" si="21"/>
        <v>69.832089479348795</v>
      </c>
      <c r="ES9" s="703">
        <f t="shared" si="22"/>
        <v>0.73076363195584482</v>
      </c>
      <c r="ET9" s="686">
        <f>ES9*FU285</f>
        <v>6.9604897583950018</v>
      </c>
      <c r="EU9" s="671" t="s">
        <v>688</v>
      </c>
      <c r="EV9" s="702">
        <f t="shared" si="33"/>
        <v>2.3179572543019153</v>
      </c>
      <c r="EW9" s="605">
        <f t="shared" si="23"/>
        <v>133.66886833141044</v>
      </c>
      <c r="EX9" s="605">
        <f t="shared" si="34"/>
        <v>111.43040983833242</v>
      </c>
      <c r="EY9" s="702">
        <f t="shared" si="24"/>
        <v>1.1660726696122834</v>
      </c>
      <c r="EZ9" s="686">
        <f>EY9*FU285</f>
        <v>11.106788186294196</v>
      </c>
      <c r="FA9" s="671" t="s">
        <v>688</v>
      </c>
      <c r="FB9" s="702">
        <f t="shared" si="25"/>
        <v>0.67393730610557079</v>
      </c>
      <c r="FC9" s="605">
        <f t="shared" si="26"/>
        <v>38.863717985421246</v>
      </c>
      <c r="FD9" s="605">
        <f t="shared" si="27"/>
        <v>32.39797027547084</v>
      </c>
      <c r="FE9" s="702">
        <f t="shared" si="28"/>
        <v>0.3390312190715985</v>
      </c>
      <c r="FF9" s="686">
        <f>FE9*FU285</f>
        <v>3.2292566637561158</v>
      </c>
      <c r="FH9">
        <v>28</v>
      </c>
      <c r="FI9" t="s">
        <v>971</v>
      </c>
      <c r="FJ9" t="s">
        <v>972</v>
      </c>
      <c r="FK9" t="s">
        <v>690</v>
      </c>
      <c r="FL9" s="286">
        <v>158371</v>
      </c>
      <c r="FM9" s="286">
        <v>17053597</v>
      </c>
      <c r="FN9" s="286">
        <v>838004668</v>
      </c>
      <c r="FO9" s="286">
        <v>381404717</v>
      </c>
      <c r="FP9">
        <v>20</v>
      </c>
      <c r="FQ9" s="925">
        <v>878.59703070032845</v>
      </c>
      <c r="FR9" s="926">
        <v>14983239686.96003</v>
      </c>
      <c r="FS9">
        <v>1</v>
      </c>
      <c r="FV9" s="788">
        <f t="shared" si="35"/>
        <v>107.68131160376583</v>
      </c>
    </row>
    <row r="10" spans="1:178" ht="16" customHeight="1">
      <c r="D10" s="341">
        <v>2016</v>
      </c>
      <c r="E10" s="28">
        <v>93</v>
      </c>
      <c r="F10" s="28">
        <f t="shared" si="39"/>
        <v>2488</v>
      </c>
      <c r="G10" s="342">
        <f t="shared" si="40"/>
        <v>92213</v>
      </c>
      <c r="H10" s="343">
        <f t="shared" si="41"/>
        <v>263177000</v>
      </c>
      <c r="I10" s="344" t="s">
        <v>233</v>
      </c>
      <c r="L10" s="253"/>
      <c r="P10" s="336">
        <v>2019</v>
      </c>
      <c r="Q10" s="254">
        <v>223</v>
      </c>
      <c r="R10" s="255" t="s">
        <v>36</v>
      </c>
      <c r="S10" s="255" t="s">
        <v>199</v>
      </c>
      <c r="T10" s="339">
        <f t="shared" si="42"/>
        <v>3279000</v>
      </c>
      <c r="U10" s="339">
        <f t="shared" si="42"/>
        <v>3302000</v>
      </c>
      <c r="V10" s="339">
        <f t="shared" si="42"/>
        <v>12925000</v>
      </c>
      <c r="W10" s="339">
        <f t="shared" si="42"/>
        <v>22858000</v>
      </c>
      <c r="X10" s="339">
        <f t="shared" si="42"/>
        <v>42364000</v>
      </c>
      <c r="AC10" s="272">
        <v>2019</v>
      </c>
      <c r="AD10" s="272" t="s">
        <v>489</v>
      </c>
      <c r="AE10" s="272">
        <v>39</v>
      </c>
      <c r="AF10" s="274" t="s">
        <v>390</v>
      </c>
      <c r="AG10" s="286">
        <f>(SUMIFS($AG$33:AG$179,$AE$33:$AE$179,$AE10)+SUMIFS($AH$33:$AH$179,$AE$33:$AE$179,$AE10))</f>
        <v>40856</v>
      </c>
      <c r="AH10" s="286">
        <f t="shared" si="43"/>
        <v>39777.5</v>
      </c>
      <c r="AI10" s="286">
        <f t="shared" si="36"/>
        <v>38699</v>
      </c>
      <c r="AK10" s="286">
        <f t="shared" si="37"/>
        <v>4205405</v>
      </c>
      <c r="AL10" s="286">
        <f t="shared" si="47"/>
        <v>108.66960386573297</v>
      </c>
      <c r="AQ10" s="341">
        <v>2016</v>
      </c>
      <c r="AR10" s="28">
        <v>97</v>
      </c>
      <c r="AS10" s="28">
        <f t="shared" si="44"/>
        <v>80</v>
      </c>
      <c r="AT10" s="28">
        <f t="shared" si="45"/>
        <v>412</v>
      </c>
      <c r="AU10" s="387">
        <f t="shared" si="46"/>
        <v>1450000</v>
      </c>
      <c r="AV10" s="344" t="s">
        <v>233</v>
      </c>
      <c r="BM10" s="272">
        <v>2019</v>
      </c>
      <c r="BN10" s="272" t="s">
        <v>588</v>
      </c>
      <c r="BO10" s="272">
        <v>66</v>
      </c>
      <c r="BP10" s="441" t="s">
        <v>596</v>
      </c>
      <c r="BQ10">
        <f t="shared" si="0"/>
        <v>0</v>
      </c>
      <c r="BR10">
        <f t="shared" si="0"/>
        <v>0</v>
      </c>
      <c r="BS10">
        <f t="shared" si="0"/>
        <v>0</v>
      </c>
      <c r="BT10">
        <f t="shared" si="0"/>
        <v>0</v>
      </c>
      <c r="BU10">
        <f t="shared" si="0"/>
        <v>0</v>
      </c>
      <c r="BV10">
        <f t="shared" si="0"/>
        <v>0</v>
      </c>
      <c r="CP10" s="479"/>
      <c r="CQ10" s="482"/>
      <c r="CR10" s="550" t="s">
        <v>666</v>
      </c>
      <c r="CS10" s="562">
        <f>CS7+CS8+CS9</f>
        <v>33241990000</v>
      </c>
      <c r="CT10" s="484" t="s">
        <v>691</v>
      </c>
      <c r="CU10" s="474" t="s">
        <v>393</v>
      </c>
      <c r="CV10" s="466">
        <f t="shared" si="3"/>
        <v>325131000</v>
      </c>
      <c r="CW10" s="466">
        <f t="shared" si="4"/>
        <v>330935000</v>
      </c>
      <c r="CX10" s="486">
        <f t="shared" si="5"/>
        <v>656066000</v>
      </c>
      <c r="CY10" s="494">
        <v>21</v>
      </c>
      <c r="CZ10" s="299">
        <v>37</v>
      </c>
      <c r="DA10" s="299">
        <v>53</v>
      </c>
      <c r="DB10" s="495">
        <v>71</v>
      </c>
      <c r="DC10" s="555">
        <f t="shared" si="6"/>
        <v>2.0178512661050467</v>
      </c>
      <c r="DE10" t="s">
        <v>697</v>
      </c>
      <c r="DF10" s="296">
        <f t="shared" si="1"/>
        <v>2893814</v>
      </c>
      <c r="DG10" s="478">
        <v>1</v>
      </c>
      <c r="DH10" s="296">
        <f t="shared" si="2"/>
        <v>2893814</v>
      </c>
      <c r="DI10" s="477">
        <f t="shared" si="48"/>
        <v>2.0160338160588367</v>
      </c>
      <c r="DJ10" s="594">
        <f t="shared" si="8"/>
        <v>2940212.8813844863</v>
      </c>
      <c r="DK10" s="286">
        <f t="shared" si="9"/>
        <v>5834026.8813844863</v>
      </c>
      <c r="DL10" s="472">
        <f t="shared" si="10"/>
        <v>0.49602342581480569</v>
      </c>
      <c r="DM10" s="472">
        <f t="shared" si="11"/>
        <v>0.50397657418519426</v>
      </c>
      <c r="DN10" s="596">
        <f t="shared" si="12"/>
        <v>0.15448386075956955</v>
      </c>
      <c r="DO10" s="453">
        <v>28.583333333333332</v>
      </c>
      <c r="DP10" s="453">
        <v>111.5</v>
      </c>
      <c r="DQ10" s="453">
        <v>53.083333333333336</v>
      </c>
      <c r="DR10" s="453">
        <v>17</v>
      </c>
      <c r="DS10" s="453">
        <v>66.25</v>
      </c>
      <c r="DT10" s="453">
        <v>21.9</v>
      </c>
      <c r="DU10" s="453">
        <v>78.8</v>
      </c>
      <c r="DV10" s="453">
        <v>248.75</v>
      </c>
      <c r="DW10" s="453">
        <v>121.15</v>
      </c>
      <c r="DX10" s="453">
        <v>117.38725605723107</v>
      </c>
      <c r="DY10" s="408">
        <f t="shared" si="13"/>
        <v>16705912803.30335</v>
      </c>
      <c r="DZ10" s="643">
        <f t="shared" si="14"/>
        <v>5772.9739379598514</v>
      </c>
      <c r="EA10" s="643">
        <f t="shared" si="15"/>
        <v>0.74785055077589502</v>
      </c>
      <c r="EC10" s="671" t="s">
        <v>691</v>
      </c>
      <c r="ED10" s="667">
        <f t="shared" si="16"/>
        <v>3.0287377847489347</v>
      </c>
      <c r="EE10" s="605">
        <f t="shared" si="17"/>
        <v>154.46562702219566</v>
      </c>
      <c r="EF10" s="605">
        <f t="shared" si="18"/>
        <v>152.81083304516096</v>
      </c>
      <c r="EG10" s="672">
        <f t="shared" si="29"/>
        <v>1.5009717691409188</v>
      </c>
      <c r="EH10" s="673">
        <f t="shared" si="30"/>
        <v>1.1827335796308887</v>
      </c>
      <c r="EI10" s="792" t="s">
        <v>1598</v>
      </c>
      <c r="EJ10" s="712">
        <f>SUM(EJ4:EJ9)</f>
        <v>108.88515437134552</v>
      </c>
      <c r="EK10" s="712">
        <f t="shared" ref="EK10:EN10" si="49">SUM(EK4:EK9)</f>
        <v>108.88515437134552</v>
      </c>
      <c r="EL10" s="712">
        <f t="shared" si="49"/>
        <v>6183.1578590945792</v>
      </c>
      <c r="EM10" s="712">
        <f t="shared" si="49"/>
        <v>11107.392220924597</v>
      </c>
      <c r="EN10" s="713">
        <f t="shared" si="49"/>
        <v>326.91777975920263</v>
      </c>
      <c r="EO10" s="671" t="s">
        <v>691</v>
      </c>
      <c r="EP10" s="702">
        <f t="shared" si="19"/>
        <v>3.8090254491749738</v>
      </c>
      <c r="EQ10" s="605">
        <f t="shared" si="20"/>
        <v>194.26029790792367</v>
      </c>
      <c r="ER10" s="605">
        <f t="shared" si="21"/>
        <v>192.17918266466756</v>
      </c>
      <c r="ES10" s="703">
        <f t="shared" si="22"/>
        <v>1.8876641272611421</v>
      </c>
      <c r="ET10" s="686">
        <f>ES10*FU291</f>
        <v>8.1878061944752876</v>
      </c>
      <c r="EU10" s="671" t="s">
        <v>691</v>
      </c>
      <c r="EV10" s="702">
        <f t="shared" si="33"/>
        <v>6.8725393871444753</v>
      </c>
      <c r="EW10" s="605">
        <f t="shared" si="23"/>
        <v>350.49950874436826</v>
      </c>
      <c r="EX10" s="605">
        <f t="shared" si="34"/>
        <v>346.74459907802242</v>
      </c>
      <c r="EY10" s="702">
        <f t="shared" si="24"/>
        <v>3.4058701464207419</v>
      </c>
      <c r="EZ10" s="686">
        <f>EY10*FU291</f>
        <v>14.773075506236145</v>
      </c>
      <c r="FA10" s="671" t="s">
        <v>691</v>
      </c>
      <c r="FB10" s="702">
        <f t="shared" si="25"/>
        <v>1.7671631222974762</v>
      </c>
      <c r="FC10" s="605">
        <f t="shared" si="26"/>
        <v>90.125319237171283</v>
      </c>
      <c r="FD10" s="605">
        <f t="shared" si="27"/>
        <v>89.159804524758457</v>
      </c>
      <c r="FE10" s="702">
        <f t="shared" si="28"/>
        <v>0.87576480585139416</v>
      </c>
      <c r="FF10" s="686">
        <f>FE10*FU291</f>
        <v>3.7986590933724425</v>
      </c>
      <c r="FH10">
        <v>28</v>
      </c>
      <c r="FI10" t="s">
        <v>973</v>
      </c>
      <c r="FJ10" t="s">
        <v>974</v>
      </c>
      <c r="FK10" t="s">
        <v>690</v>
      </c>
      <c r="FL10" s="286">
        <v>164013</v>
      </c>
      <c r="FM10" s="286">
        <v>17204503</v>
      </c>
      <c r="FN10" s="286">
        <v>413834972</v>
      </c>
      <c r="FO10" s="286">
        <v>227448088</v>
      </c>
      <c r="FP10">
        <v>22</v>
      </c>
      <c r="FQ10" s="925">
        <v>878.59703070032845</v>
      </c>
      <c r="FR10" s="926">
        <v>15115825250.474894</v>
      </c>
      <c r="FS10">
        <v>1</v>
      </c>
      <c r="FV10" s="788">
        <f t="shared" si="35"/>
        <v>104.89719107631713</v>
      </c>
    </row>
    <row r="11" spans="1:178" ht="16" customHeight="1">
      <c r="D11" s="341">
        <v>2015</v>
      </c>
      <c r="E11" s="28">
        <v>93</v>
      </c>
      <c r="F11" s="28">
        <f t="shared" si="39"/>
        <v>4434</v>
      </c>
      <c r="G11" s="342">
        <f t="shared" si="40"/>
        <v>150505</v>
      </c>
      <c r="H11" s="343">
        <f t="shared" si="41"/>
        <v>479197000</v>
      </c>
      <c r="I11" s="344" t="s">
        <v>233</v>
      </c>
      <c r="L11" s="253"/>
      <c r="P11" s="336">
        <v>2019</v>
      </c>
      <c r="Q11" s="254">
        <v>224</v>
      </c>
      <c r="R11" s="255" t="s">
        <v>36</v>
      </c>
      <c r="S11" s="255" t="s">
        <v>200</v>
      </c>
      <c r="T11" s="339">
        <f t="shared" si="42"/>
        <v>0</v>
      </c>
      <c r="U11" s="339">
        <f t="shared" si="42"/>
        <v>0</v>
      </c>
      <c r="V11" s="339">
        <f t="shared" si="42"/>
        <v>0</v>
      </c>
      <c r="W11" s="339">
        <f t="shared" si="42"/>
        <v>189011000</v>
      </c>
      <c r="X11" s="339">
        <f t="shared" si="42"/>
        <v>189011000</v>
      </c>
      <c r="AC11" s="272">
        <v>2019</v>
      </c>
      <c r="AD11" s="272" t="s">
        <v>489</v>
      </c>
      <c r="AE11" s="272">
        <v>40</v>
      </c>
      <c r="AF11" s="274" t="s">
        <v>391</v>
      </c>
      <c r="AG11" s="286">
        <f>(SUMIFS($AG$33:AG$179,$AE$33:$AE$179,$AE11)+SUMIFS($AH$33:$AH$179,$AE$33:$AE$179,$AE11))</f>
        <v>30878</v>
      </c>
      <c r="AH11" s="286">
        <f t="shared" si="43"/>
        <v>29580.5</v>
      </c>
      <c r="AI11" s="286">
        <f t="shared" si="36"/>
        <v>28283</v>
      </c>
      <c r="AK11" s="286">
        <f t="shared" si="37"/>
        <v>2873978</v>
      </c>
      <c r="AL11" s="286">
        <f t="shared" si="47"/>
        <v>101.61503376586643</v>
      </c>
      <c r="AQ11" s="341">
        <v>2015</v>
      </c>
      <c r="AR11" s="28">
        <v>97</v>
      </c>
      <c r="AS11" s="28">
        <f t="shared" si="44"/>
        <v>20172</v>
      </c>
      <c r="AT11" s="28">
        <f t="shared" si="45"/>
        <v>87696</v>
      </c>
      <c r="AU11" s="387">
        <f t="shared" si="46"/>
        <v>237317000</v>
      </c>
      <c r="AV11" s="344" t="s">
        <v>233</v>
      </c>
      <c r="BM11" s="272">
        <v>2019</v>
      </c>
      <c r="BN11" s="272" t="s">
        <v>588</v>
      </c>
      <c r="BO11" s="272">
        <v>67</v>
      </c>
      <c r="BP11" s="441" t="s">
        <v>597</v>
      </c>
      <c r="BQ11">
        <f t="shared" si="0"/>
        <v>56757</v>
      </c>
      <c r="BR11">
        <f t="shared" si="0"/>
        <v>0</v>
      </c>
      <c r="BS11">
        <f t="shared" si="0"/>
        <v>53872</v>
      </c>
      <c r="BT11">
        <f t="shared" si="0"/>
        <v>0</v>
      </c>
      <c r="BU11">
        <f t="shared" si="0"/>
        <v>1529965</v>
      </c>
      <c r="BV11">
        <f t="shared" si="0"/>
        <v>0</v>
      </c>
      <c r="CP11" s="480"/>
      <c r="CQ11" s="4">
        <v>85</v>
      </c>
      <c r="CR11" s="4" t="s">
        <v>662</v>
      </c>
      <c r="CS11" s="496">
        <f>SUMIFS($CU$34:$CU$915,$CQ$34:$CQ$915,CQ11)</f>
        <v>12455233000</v>
      </c>
      <c r="CT11" s="484" t="s">
        <v>697</v>
      </c>
      <c r="CU11" s="474" t="s">
        <v>394</v>
      </c>
      <c r="CV11" s="466">
        <f t="shared" si="3"/>
        <v>1318900000</v>
      </c>
      <c r="CW11" s="466">
        <f t="shared" si="4"/>
        <v>1340047000</v>
      </c>
      <c r="CX11" s="486">
        <f t="shared" si="5"/>
        <v>2658947000</v>
      </c>
      <c r="CY11" s="494">
        <v>22</v>
      </c>
      <c r="CZ11" s="299">
        <v>38</v>
      </c>
      <c r="DA11" s="299">
        <v>54</v>
      </c>
      <c r="DB11" s="495">
        <v>72</v>
      </c>
      <c r="DC11" s="555">
        <f t="shared" si="6"/>
        <v>2.0160338160588367</v>
      </c>
      <c r="DE11" t="s">
        <v>698</v>
      </c>
      <c r="DF11" s="296">
        <f t="shared" si="1"/>
        <v>2187568</v>
      </c>
      <c r="DG11" s="478">
        <v>1</v>
      </c>
      <c r="DH11" s="296">
        <f t="shared" si="2"/>
        <v>2187568</v>
      </c>
      <c r="DI11" s="477">
        <f t="shared" si="48"/>
        <v>2.0160338160588367</v>
      </c>
      <c r="DJ11" s="594">
        <f t="shared" si="8"/>
        <v>2222643.0629281974</v>
      </c>
      <c r="DK11" s="286">
        <f t="shared" si="9"/>
        <v>4410211.0629281979</v>
      </c>
      <c r="DL11" s="472">
        <f t="shared" si="10"/>
        <v>0.49602342581480563</v>
      </c>
      <c r="DM11" s="472">
        <f t="shared" si="11"/>
        <v>0.50397657418519437</v>
      </c>
      <c r="DN11" s="596">
        <f t="shared" si="12"/>
        <v>0.1167815036882433</v>
      </c>
      <c r="DO11" s="453">
        <v>24</v>
      </c>
      <c r="DP11" s="453">
        <v>166.58333333333334</v>
      </c>
      <c r="DQ11" s="453">
        <v>53.083333333333336</v>
      </c>
      <c r="DR11" s="453">
        <v>16.5</v>
      </c>
      <c r="DS11" s="453">
        <v>79.8</v>
      </c>
      <c r="DT11" s="453">
        <v>24.8</v>
      </c>
      <c r="DU11" s="453">
        <v>69.5</v>
      </c>
      <c r="DV11" s="453">
        <v>340.2</v>
      </c>
      <c r="DW11" s="453">
        <v>118.15</v>
      </c>
      <c r="DX11" s="453">
        <v>112.46038248868147</v>
      </c>
      <c r="DY11" s="408">
        <f t="shared" si="13"/>
        <v>14348784173.009972</v>
      </c>
      <c r="DZ11" s="643">
        <f t="shared" si="14"/>
        <v>6559.2402947062546</v>
      </c>
      <c r="EA11" s="643">
        <f t="shared" si="15"/>
        <v>0.84970615141925321</v>
      </c>
      <c r="EC11" s="671" t="s">
        <v>697</v>
      </c>
      <c r="ED11" s="667">
        <f t="shared" si="16"/>
        <v>11.550238872937024</v>
      </c>
      <c r="EE11" s="605">
        <f t="shared" si="17"/>
        <v>613.12518017174045</v>
      </c>
      <c r="EF11" s="605">
        <f t="shared" si="18"/>
        <v>672.53378256829444</v>
      </c>
      <c r="EG11" s="672">
        <f t="shared" si="29"/>
        <v>5.7291890547335633</v>
      </c>
      <c r="EH11" s="673">
        <f t="shared" si="30"/>
        <v>4.2845771900817251</v>
      </c>
      <c r="EI11" s="690"/>
      <c r="EJ11" s="691"/>
      <c r="EK11" s="169"/>
      <c r="EL11" s="169"/>
      <c r="EM11" s="169"/>
      <c r="EN11" s="692"/>
      <c r="EO11" s="671" t="s">
        <v>701</v>
      </c>
      <c r="EP11" s="702">
        <f t="shared" si="19"/>
        <v>3.6514772549709675E-2</v>
      </c>
      <c r="EQ11" s="605">
        <f t="shared" si="20"/>
        <v>3.2041712912370239</v>
      </c>
      <c r="ER11" s="605">
        <f t="shared" si="21"/>
        <v>2.6623862183516271</v>
      </c>
      <c r="ES11" s="703">
        <f t="shared" si="22"/>
        <v>2.7109583860547463E-2</v>
      </c>
      <c r="ET11" s="686">
        <f>ES11*FU306</f>
        <v>0.58075792653946534</v>
      </c>
      <c r="EU11" s="671" t="s">
        <v>701</v>
      </c>
      <c r="EV11" s="702">
        <f t="shared" si="33"/>
        <v>3.8290850596897075E-2</v>
      </c>
      <c r="EW11" s="605">
        <f t="shared" si="23"/>
        <v>3.3600221398777186</v>
      </c>
      <c r="EX11" s="605">
        <f t="shared" si="34"/>
        <v>2.7918846483120299</v>
      </c>
      <c r="EY11" s="702">
        <f t="shared" si="24"/>
        <v>2.8428193656009192E-2</v>
      </c>
      <c r="EZ11" s="686">
        <f>EY11*FU306</f>
        <v>0.60900598429890007</v>
      </c>
      <c r="FA11" s="671" t="s">
        <v>701</v>
      </c>
      <c r="FB11" s="702">
        <f t="shared" si="25"/>
        <v>1.6940700536118406E-2</v>
      </c>
      <c r="FC11" s="605">
        <f t="shared" si="26"/>
        <v>1.4865464720443902</v>
      </c>
      <c r="FD11" s="605">
        <f t="shared" si="27"/>
        <v>1.2351901569476509</v>
      </c>
      <c r="FE11" s="702">
        <f t="shared" si="28"/>
        <v>1.2577247775954578E-2</v>
      </c>
      <c r="FF11" s="686">
        <f>FE11*FU306</f>
        <v>0.26943742026842665</v>
      </c>
      <c r="FL11" s="286">
        <f>SUM(FL4:FL10)</f>
        <v>2166765</v>
      </c>
      <c r="FM11" s="286">
        <f>SUM(FM4:FM10)</f>
        <v>228429102</v>
      </c>
      <c r="FQ11" s="643">
        <f>FR11/FM11</f>
        <v>340.23870013955514</v>
      </c>
      <c r="FR11" s="408">
        <f>SUM(FR4:FR10)</f>
        <v>77720420738.525848</v>
      </c>
      <c r="FT11" s="927">
        <f>-1*(PMT($EA$23,$EA$24,FQ11,$EA$25*FQ11)/(365*24))</f>
        <v>4.4075670881092141E-2</v>
      </c>
      <c r="FU11" s="790">
        <f>FT11*FV11</f>
        <v>4.6466349232221429</v>
      </c>
      <c r="FV11" s="788">
        <f>FM11/FL11</f>
        <v>105.42403167856229</v>
      </c>
    </row>
    <row r="12" spans="1:178" ht="16" customHeight="1">
      <c r="D12" s="341">
        <v>2019</v>
      </c>
      <c r="E12" s="28">
        <v>94</v>
      </c>
      <c r="F12" s="28">
        <f t="shared" si="39"/>
        <v>0</v>
      </c>
      <c r="G12" s="342">
        <f t="shared" si="40"/>
        <v>0</v>
      </c>
      <c r="H12" s="343">
        <f t="shared" si="41"/>
        <v>0</v>
      </c>
      <c r="I12" s="344" t="s">
        <v>117</v>
      </c>
      <c r="L12" s="253"/>
      <c r="P12" s="336">
        <v>2019</v>
      </c>
      <c r="Q12" s="254">
        <v>225</v>
      </c>
      <c r="R12" s="255" t="s">
        <v>36</v>
      </c>
      <c r="S12" s="255" t="s">
        <v>201</v>
      </c>
      <c r="T12" s="339">
        <f t="shared" si="42"/>
        <v>0</v>
      </c>
      <c r="U12" s="339">
        <f t="shared" si="42"/>
        <v>0</v>
      </c>
      <c r="V12" s="339">
        <f t="shared" si="42"/>
        <v>0</v>
      </c>
      <c r="W12" s="339">
        <f t="shared" si="42"/>
        <v>86788000</v>
      </c>
      <c r="X12" s="339">
        <f t="shared" si="42"/>
        <v>86788000</v>
      </c>
      <c r="AC12" s="272">
        <v>2019</v>
      </c>
      <c r="AD12" s="272" t="s">
        <v>489</v>
      </c>
      <c r="AE12" s="272">
        <v>41</v>
      </c>
      <c r="AF12" s="274" t="s">
        <v>392</v>
      </c>
      <c r="AG12" s="286">
        <f>(SUMIFS($AG$33:AG$179,$AE$33:$AE$179,$AE12)+SUMIFS($AH$33:$AH$179,$AE$33:$AE$179,$AE12))</f>
        <v>94612</v>
      </c>
      <c r="AH12" s="286">
        <f t="shared" si="43"/>
        <v>91495</v>
      </c>
      <c r="AI12" s="286">
        <f t="shared" si="36"/>
        <v>88378</v>
      </c>
      <c r="AK12" s="286">
        <f t="shared" si="37"/>
        <v>9612434</v>
      </c>
      <c r="AL12" s="286">
        <f t="shared" si="47"/>
        <v>108.76500939147752</v>
      </c>
      <c r="AQ12" s="341">
        <v>2019</v>
      </c>
      <c r="AR12" s="28">
        <v>98</v>
      </c>
      <c r="AS12" s="28">
        <f t="shared" si="44"/>
        <v>0</v>
      </c>
      <c r="AT12" s="28">
        <f t="shared" si="45"/>
        <v>0</v>
      </c>
      <c r="AU12" s="387">
        <f t="shared" si="46"/>
        <v>0</v>
      </c>
      <c r="AV12" s="344" t="s">
        <v>117</v>
      </c>
      <c r="BM12" s="272">
        <v>2019</v>
      </c>
      <c r="BN12" s="272" t="s">
        <v>588</v>
      </c>
      <c r="BO12" s="272">
        <v>68</v>
      </c>
      <c r="BP12" s="441" t="s">
        <v>598</v>
      </c>
      <c r="BQ12">
        <f t="shared" si="0"/>
        <v>0</v>
      </c>
      <c r="BR12">
        <f t="shared" si="0"/>
        <v>0</v>
      </c>
      <c r="BS12">
        <f t="shared" si="0"/>
        <v>0</v>
      </c>
      <c r="BT12">
        <f t="shared" si="0"/>
        <v>0</v>
      </c>
      <c r="BU12">
        <f t="shared" si="0"/>
        <v>0</v>
      </c>
      <c r="BV12">
        <f t="shared" si="0"/>
        <v>0</v>
      </c>
      <c r="CP12" s="487"/>
      <c r="CQ12" s="16">
        <v>86</v>
      </c>
      <c r="CR12" s="16" t="s">
        <v>663</v>
      </c>
      <c r="CS12" s="489">
        <f>SUMIFS($CU$34:$CU$915,$CQ$34:$CQ$915,CQ12)</f>
        <v>1265597000</v>
      </c>
      <c r="CT12" s="484" t="s">
        <v>698</v>
      </c>
      <c r="CU12" s="474" t="s">
        <v>394</v>
      </c>
      <c r="CV12" s="466">
        <f t="shared" si="3"/>
        <v>1318900000</v>
      </c>
      <c r="CW12" s="466">
        <f t="shared" si="4"/>
        <v>1340047000</v>
      </c>
      <c r="CX12" s="486">
        <f t="shared" si="5"/>
        <v>2658947000</v>
      </c>
      <c r="CY12" s="494">
        <v>22</v>
      </c>
      <c r="CZ12" s="299">
        <v>38</v>
      </c>
      <c r="DA12" s="299">
        <v>54</v>
      </c>
      <c r="DB12" s="495">
        <v>72</v>
      </c>
      <c r="DC12" s="555">
        <f t="shared" si="6"/>
        <v>2.0160338160588367</v>
      </c>
      <c r="DE12" t="s">
        <v>701</v>
      </c>
      <c r="DF12" s="296">
        <f t="shared" si="1"/>
        <v>10888</v>
      </c>
      <c r="DG12" s="478">
        <v>1</v>
      </c>
      <c r="DH12" s="296">
        <f t="shared" si="2"/>
        <v>10888</v>
      </c>
      <c r="DI12" s="477">
        <f t="shared" si="48"/>
        <v>1.3469322412893829</v>
      </c>
      <c r="DJ12" s="594">
        <f t="shared" si="8"/>
        <v>3777.3982431588015</v>
      </c>
      <c r="DK12" s="286">
        <f t="shared" si="9"/>
        <v>14665.398243158801</v>
      </c>
      <c r="DL12" s="472">
        <f t="shared" si="10"/>
        <v>0.74242784406342988</v>
      </c>
      <c r="DM12" s="472">
        <f t="shared" si="11"/>
        <v>0.25757215593657012</v>
      </c>
      <c r="DN12" s="596">
        <f t="shared" si="12"/>
        <v>3.8833680170533138E-4</v>
      </c>
      <c r="DO12" s="453">
        <v>45.833333333333336</v>
      </c>
      <c r="DP12" s="453">
        <v>264.66666666666669</v>
      </c>
      <c r="DQ12" s="453">
        <v>87.75</v>
      </c>
      <c r="DR12" s="453">
        <v>22.4</v>
      </c>
      <c r="DS12" s="453">
        <v>399.6</v>
      </c>
      <c r="DT12" s="453">
        <v>32.299999999999997</v>
      </c>
      <c r="DU12" s="453">
        <v>23.9</v>
      </c>
      <c r="DV12" s="453">
        <v>375</v>
      </c>
      <c r="DW12" s="453">
        <v>111.9</v>
      </c>
      <c r="DX12" s="453">
        <v>98.208302718589266</v>
      </c>
      <c r="DY12" s="408">
        <f t="shared" si="13"/>
        <v>285451019.72799367</v>
      </c>
      <c r="DZ12" s="643">
        <f t="shared" si="14"/>
        <v>26217.029732549014</v>
      </c>
      <c r="EA12" s="643">
        <f t="shared" si="15"/>
        <v>3.3962426187781531</v>
      </c>
      <c r="EC12" s="671" t="s">
        <v>698</v>
      </c>
      <c r="ED12" s="667">
        <f t="shared" si="16"/>
        <v>8.7313603952407117</v>
      </c>
      <c r="EE12" s="605">
        <f t="shared" si="17"/>
        <v>463.48971431402782</v>
      </c>
      <c r="EF12" s="605">
        <f t="shared" si="18"/>
        <v>487.06133888908857</v>
      </c>
      <c r="EG12" s="672">
        <f t="shared" si="29"/>
        <v>4.3309592952710139</v>
      </c>
      <c r="EH12" s="673">
        <f t="shared" si="30"/>
        <v>3.6800427547381744</v>
      </c>
      <c r="EI12" s="665" t="s">
        <v>1693</v>
      </c>
      <c r="EJ12" s="16"/>
      <c r="EK12" s="666">
        <v>108.88515437134551</v>
      </c>
      <c r="EL12" s="16"/>
      <c r="EM12" s="16"/>
      <c r="EN12" s="684" t="s">
        <v>1691</v>
      </c>
      <c r="EO12" s="671" t="s">
        <v>696</v>
      </c>
      <c r="EP12" s="702">
        <f t="shared" si="19"/>
        <v>3.1947072309747832E-2</v>
      </c>
      <c r="EQ12" s="605">
        <f t="shared" si="20"/>
        <v>1.8236453776814388</v>
      </c>
      <c r="ER12" s="605">
        <f t="shared" si="21"/>
        <v>1.8290827267219283</v>
      </c>
      <c r="ES12" s="703">
        <f t="shared" si="22"/>
        <v>2.3718396019064579E-2</v>
      </c>
      <c r="ET12" s="686">
        <f>ES12*FU308</f>
        <v>0.60385131966087702</v>
      </c>
      <c r="EU12" s="671" t="s">
        <v>696</v>
      </c>
      <c r="EV12" s="702">
        <f t="shared" si="33"/>
        <v>5.1498582897625426E-2</v>
      </c>
      <c r="EW12" s="605">
        <f t="shared" si="23"/>
        <v>2.9397107737394514</v>
      </c>
      <c r="EX12" s="605">
        <f t="shared" si="34"/>
        <v>2.9484757637701509</v>
      </c>
      <c r="EY12" s="702">
        <f t="shared" si="24"/>
        <v>3.8233981873005862E-2</v>
      </c>
      <c r="EZ12" s="686">
        <f>FU308*EY12</f>
        <v>0.97340648125392015</v>
      </c>
      <c r="FA12" s="671" t="s">
        <v>696</v>
      </c>
      <c r="FB12" s="702">
        <f t="shared" si="25"/>
        <v>1.4821557063470237E-2</v>
      </c>
      <c r="FC12" s="605">
        <f t="shared" si="26"/>
        <v>0.84606388237309271</v>
      </c>
      <c r="FD12" s="605">
        <f t="shared" si="27"/>
        <v>0.84858649159049604</v>
      </c>
      <c r="FE12" s="702">
        <f t="shared" si="28"/>
        <v>1.1003936656295307E-2</v>
      </c>
      <c r="FF12" s="686">
        <f>FE12*FU308</f>
        <v>0.28015139244777137</v>
      </c>
      <c r="FU12" s="2"/>
    </row>
    <row r="13" spans="1:178" ht="16" customHeight="1">
      <c r="D13" s="341">
        <v>2018</v>
      </c>
      <c r="E13" s="28">
        <v>94</v>
      </c>
      <c r="F13" s="28">
        <f t="shared" si="39"/>
        <v>0</v>
      </c>
      <c r="G13" s="342">
        <f t="shared" si="40"/>
        <v>0</v>
      </c>
      <c r="H13" s="343">
        <f t="shared" si="41"/>
        <v>0</v>
      </c>
      <c r="I13" s="344" t="s">
        <v>117</v>
      </c>
      <c r="L13" s="253"/>
      <c r="P13" s="336">
        <v>2019</v>
      </c>
      <c r="Q13" s="254">
        <v>226</v>
      </c>
      <c r="R13" s="255" t="s">
        <v>36</v>
      </c>
      <c r="S13" s="255" t="s">
        <v>137</v>
      </c>
      <c r="T13" s="339">
        <f t="shared" si="42"/>
        <v>0</v>
      </c>
      <c r="U13" s="339">
        <f t="shared" si="42"/>
        <v>0</v>
      </c>
      <c r="V13" s="339">
        <f t="shared" si="42"/>
        <v>483140000</v>
      </c>
      <c r="W13" s="339">
        <f t="shared" si="42"/>
        <v>0</v>
      </c>
      <c r="X13" s="339">
        <f t="shared" si="42"/>
        <v>483140000</v>
      </c>
      <c r="AC13" s="272">
        <v>2019</v>
      </c>
      <c r="AD13" s="272" t="s">
        <v>489</v>
      </c>
      <c r="AE13" s="272">
        <v>42</v>
      </c>
      <c r="AF13" s="274" t="s">
        <v>393</v>
      </c>
      <c r="AG13" s="286">
        <f>(SUMIFS($AG$33:AG$179,$AE$33:$AE$179,$AE13)+SUMIFS($AH$33:$AH$179,$AE$33:$AE$179,$AE13))</f>
        <v>23437</v>
      </c>
      <c r="AH13" s="286">
        <f t="shared" si="43"/>
        <v>22329.5</v>
      </c>
      <c r="AI13" s="286">
        <f t="shared" si="36"/>
        <v>21222</v>
      </c>
      <c r="AK13" s="286">
        <f t="shared" si="37"/>
        <v>2289566</v>
      </c>
      <c r="AL13" s="286">
        <f t="shared" si="47"/>
        <v>107.88643860145132</v>
      </c>
      <c r="AQ13" s="341">
        <v>2018</v>
      </c>
      <c r="AR13" s="28">
        <v>98</v>
      </c>
      <c r="AS13" s="28">
        <f t="shared" si="44"/>
        <v>0</v>
      </c>
      <c r="AT13" s="28">
        <f t="shared" si="45"/>
        <v>0</v>
      </c>
      <c r="AU13" s="387">
        <f t="shared" si="46"/>
        <v>0</v>
      </c>
      <c r="AV13" s="344" t="s">
        <v>117</v>
      </c>
      <c r="BM13" s="272">
        <v>2019</v>
      </c>
      <c r="BN13" s="272" t="s">
        <v>588</v>
      </c>
      <c r="BO13" s="272">
        <v>69</v>
      </c>
      <c r="BP13" s="441" t="s">
        <v>599</v>
      </c>
      <c r="BQ13">
        <f t="shared" si="0"/>
        <v>0</v>
      </c>
      <c r="BR13">
        <f t="shared" si="0"/>
        <v>0</v>
      </c>
      <c r="BS13">
        <f t="shared" si="0"/>
        <v>0</v>
      </c>
      <c r="BT13">
        <f t="shared" si="0"/>
        <v>0</v>
      </c>
      <c r="BU13">
        <f t="shared" si="0"/>
        <v>0</v>
      </c>
      <c r="BV13">
        <f t="shared" si="0"/>
        <v>0</v>
      </c>
      <c r="CP13" s="487"/>
      <c r="CQ13" s="16">
        <v>87</v>
      </c>
      <c r="CR13" s="16" t="s">
        <v>664</v>
      </c>
      <c r="CS13" s="489">
        <f>SUMIFS($CU$34:$CU$915,$CQ$34:$CQ$915,CQ13)</f>
        <v>19521160000</v>
      </c>
      <c r="CT13" s="484" t="s">
        <v>701</v>
      </c>
      <c r="CU13" s="474" t="s">
        <v>402</v>
      </c>
      <c r="CV13" s="466">
        <f t="shared" si="3"/>
        <v>193643000</v>
      </c>
      <c r="CW13" s="466">
        <f t="shared" si="4"/>
        <v>67181000</v>
      </c>
      <c r="CX13" s="486">
        <f t="shared" si="5"/>
        <v>260824000</v>
      </c>
      <c r="CY13" s="494">
        <v>29</v>
      </c>
      <c r="CZ13" s="299">
        <v>45</v>
      </c>
      <c r="DA13" s="299">
        <v>63</v>
      </c>
      <c r="DB13" s="495">
        <v>81</v>
      </c>
      <c r="DC13" s="555">
        <f t="shared" si="6"/>
        <v>1.3469322412893829</v>
      </c>
      <c r="DE13" t="s">
        <v>696</v>
      </c>
      <c r="DF13" s="296">
        <f t="shared" si="1"/>
        <v>9526</v>
      </c>
      <c r="DG13" s="478">
        <v>1</v>
      </c>
      <c r="DH13" s="296">
        <f t="shared" si="2"/>
        <v>9526</v>
      </c>
      <c r="DI13" s="477">
        <f t="shared" si="48"/>
        <v>1.3469322412893829</v>
      </c>
      <c r="DJ13" s="594">
        <f t="shared" si="8"/>
        <v>3304.8765305226621</v>
      </c>
      <c r="DK13" s="286">
        <f t="shared" si="9"/>
        <v>12830.876530522663</v>
      </c>
      <c r="DL13" s="472">
        <f t="shared" si="10"/>
        <v>0.74242784406342976</v>
      </c>
      <c r="DM13" s="472">
        <f t="shared" si="11"/>
        <v>0.25757215593657024</v>
      </c>
      <c r="DN13" s="596">
        <f t="shared" si="12"/>
        <v>3.3975903499678425E-4</v>
      </c>
      <c r="DO13" s="453">
        <v>13</v>
      </c>
      <c r="DP13" s="453">
        <v>872</v>
      </c>
      <c r="DQ13" s="453">
        <v>57.083333333333336</v>
      </c>
      <c r="DR13" s="453">
        <v>0</v>
      </c>
      <c r="DS13" s="453">
        <v>338.75</v>
      </c>
      <c r="DT13" s="453">
        <v>33.75</v>
      </c>
      <c r="DU13" s="453">
        <v>0</v>
      </c>
      <c r="DV13" s="453">
        <v>482</v>
      </c>
      <c r="DW13" s="453">
        <v>85.3</v>
      </c>
      <c r="DX13" s="453">
        <v>77.116628175519637</v>
      </c>
      <c r="DY13" s="408">
        <f t="shared" si="13"/>
        <v>742483932.73482275</v>
      </c>
      <c r="DZ13" s="643">
        <f t="shared" si="14"/>
        <v>77942.886073359521</v>
      </c>
      <c r="EA13" s="643">
        <f t="shared" si="15"/>
        <v>10.096984830599132</v>
      </c>
      <c r="EC13" s="671" t="s">
        <v>701</v>
      </c>
      <c r="ED13" s="667">
        <f t="shared" si="16"/>
        <v>2.9034637021596491E-2</v>
      </c>
      <c r="EE13" s="605">
        <f t="shared" si="17"/>
        <v>2.5477893986450919</v>
      </c>
      <c r="EF13" s="605">
        <f t="shared" si="18"/>
        <v>2.1169902497928894</v>
      </c>
      <c r="EG13" s="672">
        <f t="shared" si="29"/>
        <v>2.1556122967108127E-2</v>
      </c>
      <c r="EH13" s="673">
        <f t="shared" si="30"/>
        <v>7.3209823516515199E-2</v>
      </c>
      <c r="EI13" s="685" t="s">
        <v>800</v>
      </c>
      <c r="EJ13" s="600" t="s">
        <v>1599</v>
      </c>
      <c r="EK13" s="683" t="s">
        <v>1689</v>
      </c>
      <c r="EL13" s="604" t="s">
        <v>1600</v>
      </c>
      <c r="EM13" s="604" t="s">
        <v>1601</v>
      </c>
      <c r="EN13" s="670" t="s">
        <v>1690</v>
      </c>
      <c r="EO13" s="671" t="s">
        <v>699</v>
      </c>
      <c r="EP13" s="702">
        <f t="shared" si="19"/>
        <v>0.31772298703897117</v>
      </c>
      <c r="EQ13" s="605">
        <f t="shared" si="20"/>
        <v>92.351481565994291</v>
      </c>
      <c r="ER13" s="605">
        <f t="shared" si="21"/>
        <v>12.775964061833317</v>
      </c>
      <c r="ES13" s="703">
        <f t="shared" si="22"/>
        <v>0.29299319895940973</v>
      </c>
      <c r="ET13" s="686">
        <f t="shared" ref="ET13:ET15" si="50">ES13*EA14</f>
        <v>6.8180768324413847</v>
      </c>
      <c r="EU13" s="671" t="s">
        <v>692</v>
      </c>
      <c r="EV13" s="702">
        <f t="shared" si="33"/>
        <v>0.2293832394344181</v>
      </c>
      <c r="EW13" s="605">
        <f t="shared" si="23"/>
        <v>17.222858227534225</v>
      </c>
      <c r="EX13" s="605">
        <f t="shared" si="34"/>
        <v>8.488628068403262</v>
      </c>
      <c r="EY13" s="702">
        <f t="shared" si="24"/>
        <v>0.12509680495824357</v>
      </c>
      <c r="EZ13" s="686">
        <f>EY13*FU314</f>
        <v>1.5953661780996971</v>
      </c>
      <c r="FA13" s="671" t="s">
        <v>692</v>
      </c>
      <c r="FB13" s="702">
        <f t="shared" si="25"/>
        <v>8.6834928897015731E-2</v>
      </c>
      <c r="FC13" s="605">
        <f t="shared" si="26"/>
        <v>6.5198559113509305</v>
      </c>
      <c r="FD13" s="605">
        <f t="shared" si="27"/>
        <v>3.2134406008497964</v>
      </c>
      <c r="FE13" s="702">
        <f t="shared" si="28"/>
        <v>4.7356433672211047E-2</v>
      </c>
      <c r="FF13" s="686">
        <f>FE13*FU314</f>
        <v>0.60393910636874759</v>
      </c>
      <c r="FI13" s="2" t="s">
        <v>1208</v>
      </c>
      <c r="FU13" s="2"/>
    </row>
    <row r="14" spans="1:178" ht="16" customHeight="1">
      <c r="D14" s="341">
        <v>2017</v>
      </c>
      <c r="E14" s="28">
        <v>94</v>
      </c>
      <c r="F14" s="28">
        <f t="shared" si="39"/>
        <v>0</v>
      </c>
      <c r="G14" s="342">
        <f t="shared" si="40"/>
        <v>0</v>
      </c>
      <c r="H14" s="343">
        <f t="shared" si="41"/>
        <v>0</v>
      </c>
      <c r="I14" s="344" t="s">
        <v>117</v>
      </c>
      <c r="L14" s="253"/>
      <c r="P14" s="336">
        <v>2019</v>
      </c>
      <c r="Q14" s="254">
        <v>227</v>
      </c>
      <c r="R14" s="255" t="s">
        <v>36</v>
      </c>
      <c r="S14" s="255" t="s">
        <v>138</v>
      </c>
      <c r="T14" s="339">
        <f t="shared" si="42"/>
        <v>0</v>
      </c>
      <c r="U14" s="339">
        <f t="shared" si="42"/>
        <v>0</v>
      </c>
      <c r="V14" s="339">
        <f t="shared" si="42"/>
        <v>-12808000</v>
      </c>
      <c r="W14" s="339">
        <f t="shared" si="42"/>
        <v>0</v>
      </c>
      <c r="X14" s="339">
        <f t="shared" si="42"/>
        <v>-12808000</v>
      </c>
      <c r="AC14" s="272">
        <v>2019</v>
      </c>
      <c r="AD14" s="272" t="s">
        <v>489</v>
      </c>
      <c r="AE14" s="272">
        <v>43</v>
      </c>
      <c r="AF14" s="274" t="s">
        <v>394</v>
      </c>
      <c r="AG14" s="286">
        <f>(SUMIFS($AG$33:AG$179,$AE$33:$AE$179,$AE14)+SUMIFS($AH$33:$AH$179,$AE$33:$AE$179,$AE14))</f>
        <v>19031</v>
      </c>
      <c r="AH14" s="286">
        <f t="shared" si="43"/>
        <v>18183</v>
      </c>
      <c r="AI14" s="286">
        <f t="shared" si="36"/>
        <v>17335</v>
      </c>
      <c r="AK14" s="286">
        <f t="shared" si="37"/>
        <v>1882263</v>
      </c>
      <c r="AL14" s="286">
        <f t="shared" si="47"/>
        <v>108.5816556100375</v>
      </c>
      <c r="AQ14" s="341">
        <v>2017</v>
      </c>
      <c r="AR14" s="28">
        <v>98</v>
      </c>
      <c r="AS14" s="28">
        <f t="shared" si="44"/>
        <v>0</v>
      </c>
      <c r="AT14" s="28">
        <f t="shared" si="45"/>
        <v>0</v>
      </c>
      <c r="AU14" s="387">
        <f t="shared" si="46"/>
        <v>0</v>
      </c>
      <c r="AV14" s="344" t="s">
        <v>117</v>
      </c>
      <c r="BM14" s="272">
        <v>2019</v>
      </c>
      <c r="BN14" s="272" t="s">
        <v>588</v>
      </c>
      <c r="BO14" s="272">
        <v>70</v>
      </c>
      <c r="BP14" s="441" t="s">
        <v>600</v>
      </c>
      <c r="BQ14">
        <f t="shared" si="0"/>
        <v>107215</v>
      </c>
      <c r="BR14">
        <f t="shared" si="0"/>
        <v>53086</v>
      </c>
      <c r="BS14">
        <f t="shared" si="0"/>
        <v>104147</v>
      </c>
      <c r="BT14">
        <f t="shared" si="0"/>
        <v>54342</v>
      </c>
      <c r="BU14">
        <f t="shared" si="0"/>
        <v>3630908</v>
      </c>
      <c r="BV14">
        <f t="shared" si="0"/>
        <v>0</v>
      </c>
      <c r="CP14" s="479"/>
      <c r="CQ14" s="482">
        <v>88</v>
      </c>
      <c r="CR14" s="550" t="s">
        <v>666</v>
      </c>
      <c r="CS14" s="563">
        <f>SUMIFS($CU$34:$CU$915,$CQ$34:$CQ$915,CQ14)</f>
        <v>33241990000</v>
      </c>
      <c r="CT14" s="484" t="s">
        <v>696</v>
      </c>
      <c r="CU14" s="474" t="s">
        <v>402</v>
      </c>
      <c r="CV14" s="466">
        <f t="shared" si="3"/>
        <v>193643000</v>
      </c>
      <c r="CW14" s="466">
        <f t="shared" si="4"/>
        <v>67181000</v>
      </c>
      <c r="CX14" s="486">
        <f t="shared" si="5"/>
        <v>260824000</v>
      </c>
      <c r="CY14" s="494">
        <v>29</v>
      </c>
      <c r="CZ14" s="299">
        <v>45</v>
      </c>
      <c r="DA14" s="299">
        <v>63</v>
      </c>
      <c r="DB14" s="495">
        <v>81</v>
      </c>
      <c r="DC14" s="555">
        <f t="shared" si="6"/>
        <v>1.3469322412893829</v>
      </c>
      <c r="DE14" t="s">
        <v>699</v>
      </c>
      <c r="DF14" s="296">
        <f>SUMIFS($CD$130:$CD$405,$CC$130:$CC$405,DE14)</f>
        <v>422640</v>
      </c>
      <c r="DG14" s="478">
        <f>CE4</f>
        <v>3.5915986287092889</v>
      </c>
      <c r="DH14" s="296">
        <f t="shared" si="2"/>
        <v>117674.61893476776</v>
      </c>
      <c r="DI14" s="477">
        <f t="shared" si="48"/>
        <v>1.0844039662606211</v>
      </c>
      <c r="DJ14" s="594">
        <f t="shared" si="8"/>
        <v>9932.2045663015797</v>
      </c>
      <c r="DK14" s="286">
        <f t="shared" si="9"/>
        <v>127606.82350106933</v>
      </c>
      <c r="DL14" s="472">
        <f t="shared" si="10"/>
        <v>0.92216556847198428</v>
      </c>
      <c r="DM14" s="472">
        <f t="shared" si="11"/>
        <v>7.7834431528015724E-2</v>
      </c>
      <c r="DN14" s="596">
        <f t="shared" si="12"/>
        <v>3.3790030718939676E-3</v>
      </c>
      <c r="DO14" s="453">
        <v>116.75</v>
      </c>
      <c r="DP14" s="453">
        <v>438.16666666666669</v>
      </c>
      <c r="DQ14" s="453">
        <v>290.66666666666669</v>
      </c>
      <c r="DR14" s="453">
        <v>5.75</v>
      </c>
      <c r="DS14" s="453">
        <v>175.35</v>
      </c>
      <c r="DT14" s="453">
        <v>57.8</v>
      </c>
      <c r="DU14" s="453">
        <v>97.5</v>
      </c>
      <c r="DV14" s="453">
        <v>315</v>
      </c>
      <c r="DW14" s="453">
        <v>168</v>
      </c>
      <c r="DX14" s="453">
        <v>43.60498505497138</v>
      </c>
      <c r="DY14" s="408">
        <f>SUMIFS($CJ$130:$CJ$405,$CC$130:$CC$405,$DE14)</f>
        <v>21138391206.930649</v>
      </c>
      <c r="DZ14" s="643">
        <f t="shared" si="14"/>
        <v>179634.24397106902</v>
      </c>
      <c r="EA14" s="643">
        <f t="shared" si="15"/>
        <v>23.270426947302411</v>
      </c>
      <c r="EC14" s="671" t="s">
        <v>696</v>
      </c>
      <c r="ED14" s="667">
        <f t="shared" si="16"/>
        <v>2.5402640729952995E-2</v>
      </c>
      <c r="EE14" s="605">
        <f t="shared" si="17"/>
        <v>1.4500674083348168</v>
      </c>
      <c r="EF14" s="605">
        <f t="shared" si="18"/>
        <v>1.454390903860783</v>
      </c>
      <c r="EG14" s="672">
        <f t="shared" si="29"/>
        <v>1.8859627790656874E-2</v>
      </c>
      <c r="EH14" s="673">
        <f t="shared" si="30"/>
        <v>0.19042537571300827</v>
      </c>
      <c r="EI14" s="678" t="s">
        <v>690</v>
      </c>
      <c r="EJ14" s="605">
        <f>EJ4*(EK36/EJ36)</f>
        <v>34.998264579439365</v>
      </c>
      <c r="EK14" s="680">
        <v>0</v>
      </c>
      <c r="EL14" s="680">
        <f>EJ14*EO36</f>
        <v>2096.979352718075</v>
      </c>
      <c r="EM14" s="680">
        <v>0</v>
      </c>
      <c r="EN14" s="689">
        <v>0</v>
      </c>
      <c r="EO14" s="671" t="s">
        <v>692</v>
      </c>
      <c r="EP14" s="702">
        <f t="shared" si="19"/>
        <v>0.18716803778477345</v>
      </c>
      <c r="EQ14" s="605">
        <f t="shared" si="20"/>
        <v>14.053200170340073</v>
      </c>
      <c r="ER14" s="605">
        <f t="shared" si="21"/>
        <v>6.9263990820132992</v>
      </c>
      <c r="ES14" s="703">
        <f t="shared" si="22"/>
        <v>0.10207425605685194</v>
      </c>
      <c r="ET14" s="686">
        <f>ES14*FU314</f>
        <v>1.3017583928074463</v>
      </c>
      <c r="EU14" s="671" t="s">
        <v>695</v>
      </c>
      <c r="EV14" s="702">
        <f t="shared" si="33"/>
        <v>27.315431478514014</v>
      </c>
      <c r="EW14" s="605">
        <f t="shared" si="23"/>
        <v>1620.7156010584984</v>
      </c>
      <c r="EX14" s="605">
        <f t="shared" si="34"/>
        <v>1163.9265520823642</v>
      </c>
      <c r="EY14" s="702">
        <f t="shared" si="24"/>
        <v>13.437486527852693</v>
      </c>
      <c r="EZ14" s="686">
        <f>EY14*FU391</f>
        <v>139.07914434231705</v>
      </c>
      <c r="FA14" s="671" t="s">
        <v>695</v>
      </c>
      <c r="FB14" s="702">
        <f t="shared" si="25"/>
        <v>8.1713918863482178</v>
      </c>
      <c r="FC14" s="605">
        <f t="shared" si="26"/>
        <v>484.83591858999426</v>
      </c>
      <c r="FD14" s="605">
        <f t="shared" si="27"/>
        <v>348.18779968649756</v>
      </c>
      <c r="FE14" s="702">
        <f t="shared" si="28"/>
        <v>4.0198145313200948</v>
      </c>
      <c r="FF14" s="686">
        <f>FE14*FU391</f>
        <v>41.605427047088597</v>
      </c>
      <c r="FH14" t="s">
        <v>797</v>
      </c>
      <c r="FI14" t="s">
        <v>804</v>
      </c>
      <c r="FJ14" t="s">
        <v>805</v>
      </c>
      <c r="FK14" t="s">
        <v>800</v>
      </c>
      <c r="FL14" t="s">
        <v>678</v>
      </c>
      <c r="FM14" t="s">
        <v>794</v>
      </c>
      <c r="FN14" t="s">
        <v>353</v>
      </c>
      <c r="FO14" t="s">
        <v>803</v>
      </c>
      <c r="FP14" t="s">
        <v>1627</v>
      </c>
      <c r="FQ14" t="s">
        <v>1628</v>
      </c>
      <c r="FR14" t="s">
        <v>1680</v>
      </c>
      <c r="FS14" t="s">
        <v>1815</v>
      </c>
      <c r="FU14" s="2"/>
    </row>
    <row r="15" spans="1:178" ht="16" customHeight="1">
      <c r="D15" s="341">
        <v>2016</v>
      </c>
      <c r="E15" s="28">
        <v>94</v>
      </c>
      <c r="F15" s="28">
        <f t="shared" si="39"/>
        <v>0</v>
      </c>
      <c r="G15" s="342">
        <f t="shared" si="40"/>
        <v>0</v>
      </c>
      <c r="H15" s="343">
        <f t="shared" si="41"/>
        <v>0</v>
      </c>
      <c r="I15" s="344" t="s">
        <v>117</v>
      </c>
      <c r="L15" s="253"/>
      <c r="P15" s="336">
        <v>2019</v>
      </c>
      <c r="Q15" s="254">
        <v>228</v>
      </c>
      <c r="R15" s="255" t="s">
        <v>36</v>
      </c>
      <c r="S15" s="255" t="s">
        <v>139</v>
      </c>
      <c r="T15" s="339">
        <f t="shared" si="42"/>
        <v>0</v>
      </c>
      <c r="U15" s="339">
        <f t="shared" si="42"/>
        <v>0</v>
      </c>
      <c r="V15" s="339">
        <f t="shared" si="42"/>
        <v>0</v>
      </c>
      <c r="W15" s="339">
        <f t="shared" si="42"/>
        <v>0</v>
      </c>
      <c r="X15" s="339">
        <f t="shared" si="42"/>
        <v>0</v>
      </c>
      <c r="AC15" s="272">
        <v>2019</v>
      </c>
      <c r="AD15" s="272" t="s">
        <v>489</v>
      </c>
      <c r="AE15" s="272">
        <v>44</v>
      </c>
      <c r="AF15" s="274" t="s">
        <v>395</v>
      </c>
      <c r="AG15" s="286">
        <f>(SUMIFS($AG$33:AG$179,$AE$33:$AE$179,$AE15)+SUMIFS($AH$33:$AH$179,$AE$33:$AE$179,$AE15))</f>
        <v>5347</v>
      </c>
      <c r="AH15" s="286">
        <f t="shared" si="43"/>
        <v>5251</v>
      </c>
      <c r="AI15" s="286">
        <f t="shared" si="36"/>
        <v>5155</v>
      </c>
      <c r="AK15" s="286">
        <f t="shared" si="37"/>
        <v>446820</v>
      </c>
      <c r="AL15" s="286">
        <f t="shared" si="47"/>
        <v>86.677012609117355</v>
      </c>
      <c r="AQ15" s="341">
        <v>2016</v>
      </c>
      <c r="AR15" s="28">
        <v>98</v>
      </c>
      <c r="AS15" s="28">
        <f t="shared" si="44"/>
        <v>0</v>
      </c>
      <c r="AT15" s="28">
        <f t="shared" si="45"/>
        <v>0</v>
      </c>
      <c r="AU15" s="387">
        <f t="shared" si="46"/>
        <v>0</v>
      </c>
      <c r="AV15" s="344" t="s">
        <v>117</v>
      </c>
      <c r="BP15" s="442" t="s">
        <v>608</v>
      </c>
      <c r="BQ15">
        <f>(BQ14+BR14)</f>
        <v>160301</v>
      </c>
      <c r="CP15" s="480"/>
      <c r="CQ15" s="4"/>
      <c r="CR15" s="4" t="s">
        <v>668</v>
      </c>
      <c r="CS15" s="564">
        <f>CS3+CS4</f>
        <v>4824433000</v>
      </c>
      <c r="CT15" s="484" t="s">
        <v>699</v>
      </c>
      <c r="CU15" s="474" t="s">
        <v>397</v>
      </c>
      <c r="CV15" s="466">
        <f t="shared" si="3"/>
        <v>4448926000</v>
      </c>
      <c r="CW15" s="466">
        <f t="shared" si="4"/>
        <v>375507000</v>
      </c>
      <c r="CX15" s="486">
        <f t="shared" si="5"/>
        <v>4824433000</v>
      </c>
      <c r="CY15" s="494">
        <v>25</v>
      </c>
      <c r="CZ15" s="299">
        <v>41</v>
      </c>
      <c r="DA15" s="299">
        <v>57</v>
      </c>
      <c r="DB15" s="495">
        <v>75</v>
      </c>
      <c r="DC15" s="555">
        <f t="shared" si="6"/>
        <v>1.0844039662606211</v>
      </c>
      <c r="DE15" t="s">
        <v>692</v>
      </c>
      <c r="DF15" s="296">
        <f>SUMIFS($DF$33:$DF$334,$DE$33:$DE$334,DE15)</f>
        <v>40996</v>
      </c>
      <c r="DG15" s="478">
        <v>1</v>
      </c>
      <c r="DH15" s="296">
        <f t="shared" si="2"/>
        <v>40996</v>
      </c>
      <c r="DI15" s="477">
        <f>DC25</f>
        <v>1.833645867382341</v>
      </c>
      <c r="DJ15" s="594">
        <f t="shared" si="8"/>
        <v>34176.145979206456</v>
      </c>
      <c r="DK15" s="286">
        <f t="shared" si="9"/>
        <v>75172.145979206456</v>
      </c>
      <c r="DL15" s="472">
        <f t="shared" si="10"/>
        <v>0.54536157596644907</v>
      </c>
      <c r="DM15" s="472">
        <f t="shared" si="11"/>
        <v>0.45463842403355093</v>
      </c>
      <c r="DN15" s="596">
        <f t="shared" si="12"/>
        <v>1.9905433362853971E-3</v>
      </c>
      <c r="DO15" s="453">
        <v>54.333333333333336</v>
      </c>
      <c r="DP15" s="453">
        <v>83.75</v>
      </c>
      <c r="DQ15" s="453">
        <v>75.083333333333329</v>
      </c>
      <c r="DR15" s="453">
        <v>27.25</v>
      </c>
      <c r="DS15" s="453">
        <v>65.5</v>
      </c>
      <c r="DT15" s="453">
        <v>46.05</v>
      </c>
      <c r="DU15" s="453">
        <v>40</v>
      </c>
      <c r="DV15" s="453">
        <v>115.75</v>
      </c>
      <c r="DW15" s="453">
        <v>89.25</v>
      </c>
      <c r="DX15" s="453">
        <v>67.856473802322171</v>
      </c>
      <c r="DY15" s="408">
        <f t="shared" si="13"/>
        <v>4035900275.153677</v>
      </c>
      <c r="DZ15" s="643">
        <f t="shared" si="14"/>
        <v>98446.19658390274</v>
      </c>
      <c r="EA15" s="643">
        <f t="shared" si="15"/>
        <v>12.753052954727494</v>
      </c>
      <c r="EC15" s="671" t="s">
        <v>699</v>
      </c>
      <c r="ED15" s="667">
        <f t="shared" si="16"/>
        <v>0.25263669901093994</v>
      </c>
      <c r="EE15" s="605">
        <f t="shared" si="17"/>
        <v>73.433067179179886</v>
      </c>
      <c r="EF15" s="605">
        <f t="shared" si="18"/>
        <v>10.158778303529136</v>
      </c>
      <c r="EG15" s="672">
        <f t="shared" si="29"/>
        <v>0.23297286516030899</v>
      </c>
      <c r="EH15" s="673">
        <f t="shared" si="30"/>
        <v>5.4213780394167053</v>
      </c>
      <c r="EI15" s="671" t="s">
        <v>688</v>
      </c>
      <c r="EJ15" s="605">
        <f>EJ5*(EK39/EJ39)</f>
        <v>2.2053245345459263</v>
      </c>
      <c r="EK15" s="605">
        <v>0</v>
      </c>
      <c r="EL15" s="605">
        <f>EJ15*EO39</f>
        <v>127.17371482548174</v>
      </c>
      <c r="EM15" s="605">
        <v>0</v>
      </c>
      <c r="EN15" s="686">
        <v>0</v>
      </c>
      <c r="EO15" s="671" t="s">
        <v>700</v>
      </c>
      <c r="EP15" s="702">
        <f t="shared" si="19"/>
        <v>8.0274410933542626</v>
      </c>
      <c r="EQ15" s="605">
        <f t="shared" si="20"/>
        <v>1636.2600761953772</v>
      </c>
      <c r="ER15" s="605">
        <f t="shared" si="21"/>
        <v>490.90759501595238</v>
      </c>
      <c r="ES15" s="703">
        <f t="shared" si="22"/>
        <v>7.4026297792283993</v>
      </c>
      <c r="ET15" s="686">
        <f t="shared" si="50"/>
        <v>278.62018581883956</v>
      </c>
      <c r="EU15" s="548" t="s">
        <v>693</v>
      </c>
      <c r="EV15" s="586">
        <f t="shared" si="33"/>
        <v>5.973787680989231</v>
      </c>
      <c r="EW15" s="601">
        <f t="shared" si="23"/>
        <v>560.54041073282281</v>
      </c>
      <c r="EX15" s="601">
        <f t="shared" si="34"/>
        <v>87.958294258508133</v>
      </c>
      <c r="EY15" s="586">
        <f t="shared" si="24"/>
        <v>4.1307592685319054</v>
      </c>
      <c r="EZ15" s="693">
        <f>EY15*FU396</f>
        <v>85.043441403710332</v>
      </c>
      <c r="FA15" s="548" t="s">
        <v>693</v>
      </c>
      <c r="FB15" s="586">
        <f t="shared" si="25"/>
        <v>2.8261561505553501</v>
      </c>
      <c r="FC15" s="601">
        <f t="shared" si="26"/>
        <v>265.18765212711031</v>
      </c>
      <c r="FD15" s="601">
        <f t="shared" si="27"/>
        <v>41.612438805303469</v>
      </c>
      <c r="FE15" s="586">
        <f t="shared" si="28"/>
        <v>1.9542326136525456</v>
      </c>
      <c r="FF15" s="693">
        <f>FE15*EA18</f>
        <v>40.233442804195761</v>
      </c>
      <c r="FH15">
        <v>14</v>
      </c>
      <c r="FI15" t="s">
        <v>1016</v>
      </c>
      <c r="FJ15" t="s">
        <v>1017</v>
      </c>
      <c r="FK15" t="s">
        <v>689</v>
      </c>
      <c r="FL15" s="286">
        <v>37386</v>
      </c>
      <c r="FM15" s="286">
        <v>3728481</v>
      </c>
      <c r="FN15" s="286">
        <v>45058759</v>
      </c>
      <c r="FO15" s="286">
        <v>25012604</v>
      </c>
      <c r="FP15">
        <v>12</v>
      </c>
      <c r="FQ15" s="925">
        <v>12.148631154247422</v>
      </c>
      <c r="FR15" s="926">
        <v>45295940.434619583</v>
      </c>
      <c r="FS15">
        <v>1</v>
      </c>
      <c r="FT15" s="927">
        <f>-1*(PMT($EA$23,$EA$24,FQ15,$EA$25*FQ15)/(365*24))</f>
        <v>1.5737747298904081E-3</v>
      </c>
      <c r="FU15" s="790">
        <f>FT15*FV15</f>
        <v>0.15695151069053973</v>
      </c>
      <c r="FV15" s="788">
        <f>FM15/FL15</f>
        <v>99.729337185042525</v>
      </c>
    </row>
    <row r="16" spans="1:178" ht="16" customHeight="1" thickBot="1">
      <c r="D16" s="345">
        <v>2015</v>
      </c>
      <c r="E16" s="346">
        <v>94</v>
      </c>
      <c r="F16" s="346">
        <f t="shared" si="39"/>
        <v>0</v>
      </c>
      <c r="G16" s="347">
        <f t="shared" si="40"/>
        <v>0</v>
      </c>
      <c r="H16" s="348">
        <f t="shared" si="41"/>
        <v>0</v>
      </c>
      <c r="I16" s="349" t="s">
        <v>117</v>
      </c>
      <c r="L16" s="253"/>
      <c r="P16" s="336">
        <v>2019</v>
      </c>
      <c r="Q16" s="254">
        <v>229</v>
      </c>
      <c r="R16" s="255" t="s">
        <v>36</v>
      </c>
      <c r="S16" s="255" t="s">
        <v>140</v>
      </c>
      <c r="T16" s="339">
        <f t="shared" si="42"/>
        <v>0</v>
      </c>
      <c r="U16" s="339">
        <f t="shared" si="42"/>
        <v>0</v>
      </c>
      <c r="V16" s="339">
        <f t="shared" si="42"/>
        <v>0</v>
      </c>
      <c r="W16" s="339">
        <f t="shared" si="42"/>
        <v>0</v>
      </c>
      <c r="X16" s="339">
        <f t="shared" si="42"/>
        <v>0</v>
      </c>
      <c r="AC16" s="272">
        <v>2019</v>
      </c>
      <c r="AD16" s="272" t="s">
        <v>489</v>
      </c>
      <c r="AE16" s="272">
        <v>45</v>
      </c>
      <c r="AF16" s="274" t="s">
        <v>396</v>
      </c>
      <c r="AG16" s="286">
        <f>(SUMIFS($AG$33:AG$179,$AE$33:$AE$179,$AE16)+SUMIFS($AH$33:$AH$179,$AE$33:$AE$179,$AE16))</f>
        <v>2954</v>
      </c>
      <c r="AH16" s="286">
        <f t="shared" si="43"/>
        <v>2774</v>
      </c>
      <c r="AI16" s="286">
        <f t="shared" si="36"/>
        <v>2594</v>
      </c>
      <c r="AK16" s="286">
        <f t="shared" si="37"/>
        <v>216084</v>
      </c>
      <c r="AL16" s="286">
        <f t="shared" si="47"/>
        <v>83.301464919043951</v>
      </c>
      <c r="AQ16" s="345">
        <v>2015</v>
      </c>
      <c r="AR16" s="346">
        <v>98</v>
      </c>
      <c r="AS16" s="346">
        <f t="shared" si="44"/>
        <v>0</v>
      </c>
      <c r="AT16" s="346">
        <f t="shared" si="45"/>
        <v>0</v>
      </c>
      <c r="AU16" s="389">
        <f t="shared" si="46"/>
        <v>0</v>
      </c>
      <c r="AV16" s="349" t="s">
        <v>117</v>
      </c>
      <c r="BP16" s="442" t="s">
        <v>609</v>
      </c>
      <c r="BQ16">
        <f>(BS14+BT14)</f>
        <v>158489</v>
      </c>
      <c r="CP16" s="487"/>
      <c r="CQ16" s="16"/>
      <c r="CR16" s="16" t="s">
        <v>669</v>
      </c>
      <c r="CS16" s="560">
        <f>CS13-CS15</f>
        <v>14696727000</v>
      </c>
      <c r="CT16" s="510" t="s">
        <v>692</v>
      </c>
      <c r="CU16" s="511" t="s">
        <v>395</v>
      </c>
      <c r="CV16" s="512">
        <f t="shared" si="3"/>
        <v>130347000</v>
      </c>
      <c r="CW16" s="512">
        <f t="shared" si="4"/>
        <v>104102000</v>
      </c>
      <c r="CX16" s="513">
        <f t="shared" si="5"/>
        <v>234449000</v>
      </c>
      <c r="CY16" s="514">
        <v>23</v>
      </c>
      <c r="CZ16" s="515">
        <v>39</v>
      </c>
      <c r="DA16" s="515">
        <v>55</v>
      </c>
      <c r="DB16" s="516">
        <v>73</v>
      </c>
      <c r="DC16" s="517">
        <f t="shared" si="6"/>
        <v>1.7986528266856927</v>
      </c>
      <c r="DE16" t="s">
        <v>700</v>
      </c>
      <c r="DF16" s="296">
        <f>SUMIFS($CD$130:$CD$405,$CC$130:$CC$405,DE16)</f>
        <v>15186300</v>
      </c>
      <c r="DG16" s="478">
        <f>CE5</f>
        <v>5.10787997781991</v>
      </c>
      <c r="DH16" s="296">
        <f t="shared" si="2"/>
        <v>2973112.1455366798</v>
      </c>
      <c r="DI16" s="477">
        <f>DC18</f>
        <v>1.0844039662606211</v>
      </c>
      <c r="DJ16" s="594">
        <f t="shared" si="8"/>
        <v>250942.45722092065</v>
      </c>
      <c r="DK16" s="286">
        <f t="shared" si="9"/>
        <v>3224054.6027576006</v>
      </c>
      <c r="DL16" s="472">
        <f t="shared" si="10"/>
        <v>0.92216556847198417</v>
      </c>
      <c r="DM16" s="472">
        <f t="shared" si="11"/>
        <v>7.7834431528015835E-2</v>
      </c>
      <c r="DN16" s="596">
        <f t="shared" si="12"/>
        <v>8.5372318719151616E-2</v>
      </c>
      <c r="DO16" s="453">
        <v>60.083333333333336</v>
      </c>
      <c r="DP16" s="453">
        <v>358.83333333333331</v>
      </c>
      <c r="DQ16" s="453">
        <v>203.83333333333334</v>
      </c>
      <c r="DR16" s="453">
        <v>21.75</v>
      </c>
      <c r="DS16" s="453">
        <v>151.6</v>
      </c>
      <c r="DT16" s="453">
        <v>65.45</v>
      </c>
      <c r="DU16" s="453">
        <v>77.650000000000006</v>
      </c>
      <c r="DV16" s="453">
        <v>420.5</v>
      </c>
      <c r="DW16" s="453">
        <v>175.5</v>
      </c>
      <c r="DX16" s="453">
        <v>66.315297354654589</v>
      </c>
      <c r="DY16" s="408">
        <f>SUMIFS($CJ$130:$CJ$405,$CC$130:$CC$405,$DE16)</f>
        <v>863818732279.88074</v>
      </c>
      <c r="DZ16" s="643">
        <f t="shared" si="14"/>
        <v>290543.60884996213</v>
      </c>
      <c r="EA16" s="643">
        <f t="shared" si="15"/>
        <v>37.638000835951715</v>
      </c>
      <c r="EC16" s="671" t="s">
        <v>692</v>
      </c>
      <c r="ED16" s="667">
        <f t="shared" si="16"/>
        <v>0.14882623277270179</v>
      </c>
      <c r="EE16" s="605">
        <f t="shared" si="17"/>
        <v>11.174369644017025</v>
      </c>
      <c r="EF16" s="605">
        <f t="shared" si="18"/>
        <v>5.5075102258736166</v>
      </c>
      <c r="EG16" s="672">
        <f t="shared" si="29"/>
        <v>8.1164108850070249E-2</v>
      </c>
      <c r="EH16" s="673">
        <f t="shared" si="30"/>
        <v>1.0350901781882123</v>
      </c>
      <c r="EI16" s="671" t="s">
        <v>691</v>
      </c>
      <c r="EJ16" s="605">
        <f>EJ6*(EK40/EJ40)</f>
        <v>5.9584132789268116</v>
      </c>
      <c r="EK16" s="605">
        <v>0</v>
      </c>
      <c r="EL16" s="605">
        <f>EJ16*EO40</f>
        <v>303.87907722526739</v>
      </c>
      <c r="EM16" s="605">
        <v>0</v>
      </c>
      <c r="EN16" s="686">
        <v>0</v>
      </c>
      <c r="EO16" s="671" t="s">
        <v>695</v>
      </c>
      <c r="EP16" s="702">
        <f t="shared" si="19"/>
        <v>17.612997497263763</v>
      </c>
      <c r="EQ16" s="605">
        <f t="shared" si="20"/>
        <v>1045.0378515043167</v>
      </c>
      <c r="ER16" s="605">
        <f t="shared" si="21"/>
        <v>750.50015098428003</v>
      </c>
      <c r="ES16" s="703">
        <f t="shared" si="22"/>
        <v>8.6644948944244291</v>
      </c>
      <c r="ET16" s="686">
        <f>ES16*FU391</f>
        <v>89.678269338327752</v>
      </c>
      <c r="EU16" s="548" t="s">
        <v>1598</v>
      </c>
      <c r="EV16" s="704">
        <f>SUM(EV4:EV15)</f>
        <v>89.65770851038755</v>
      </c>
      <c r="EW16" s="704">
        <f>EQ18</f>
        <v>5537.3533848626294</v>
      </c>
      <c r="EX16" s="704">
        <f t="shared" ref="EX16" si="51">SUM(EX4:EX15)</f>
        <v>3968.776151908271</v>
      </c>
      <c r="EY16" s="704">
        <f>SUM(EY4:EY15)</f>
        <v>46.032172147857153</v>
      </c>
      <c r="EZ16" s="676">
        <f>SUM(EZ4:EZ15)</f>
        <v>641.76508994215067</v>
      </c>
      <c r="FA16" s="548" t="s">
        <v>1598</v>
      </c>
      <c r="FB16" s="606">
        <f>SUM(FB4:FB15)</f>
        <v>27.918460519142087</v>
      </c>
      <c r="FC16" s="606">
        <f>SUM(FC4:FC15)</f>
        <v>1767.0315383855207</v>
      </c>
      <c r="FD16" s="606">
        <f>SUM(FD4:FD15)</f>
        <v>1203.1838383328331</v>
      </c>
      <c r="FE16" s="951">
        <f>SUM(FE4:FE15)</f>
        <v>14.521763287449579</v>
      </c>
      <c r="FF16" s="676">
        <f>SUM(FF4:FF15)</f>
        <v>209.06423236097527</v>
      </c>
      <c r="FU16" s="2"/>
    </row>
    <row r="17" spans="1:178" ht="16" customHeight="1">
      <c r="L17" s="253"/>
      <c r="P17" s="336">
        <v>2019</v>
      </c>
      <c r="Q17" s="254">
        <v>230</v>
      </c>
      <c r="R17" s="255" t="s">
        <v>36</v>
      </c>
      <c r="S17" s="255" t="s">
        <v>141</v>
      </c>
      <c r="T17" s="339">
        <f t="shared" ref="T17:X24" si="52">SUMIFS(T$32:T$171,$M$32:$M$171,$P17,$Q$32:$Q$171,$Q17)</f>
        <v>0</v>
      </c>
      <c r="U17" s="339">
        <f t="shared" si="52"/>
        <v>0</v>
      </c>
      <c r="V17" s="339">
        <f t="shared" si="52"/>
        <v>2374455000</v>
      </c>
      <c r="W17" s="339">
        <f t="shared" si="52"/>
        <v>0</v>
      </c>
      <c r="X17" s="339">
        <f t="shared" si="52"/>
        <v>2374455000</v>
      </c>
      <c r="AC17" s="272">
        <v>2019</v>
      </c>
      <c r="AD17" s="272" t="s">
        <v>489</v>
      </c>
      <c r="AE17" s="272">
        <v>46</v>
      </c>
      <c r="AF17" s="274" t="s">
        <v>397</v>
      </c>
      <c r="AG17" s="286">
        <f>(SUMIFS($AG$33:AG$179,$AE$33:$AE$179,$AE17)+SUMIFS($AH$33:$AH$179,$AE$33:$AE$179,$AE17))</f>
        <v>8905</v>
      </c>
      <c r="AH17" s="286">
        <f t="shared" si="43"/>
        <v>8454.5</v>
      </c>
      <c r="AI17" s="286">
        <f t="shared" si="36"/>
        <v>8004</v>
      </c>
      <c r="AK17" s="286">
        <f t="shared" si="37"/>
        <v>1807361</v>
      </c>
      <c r="AL17" s="286">
        <f t="shared" si="47"/>
        <v>225.80722138930534</v>
      </c>
      <c r="BP17" s="442" t="s">
        <v>610</v>
      </c>
      <c r="BQ17">
        <f>(BQ15+BQ16)/2</f>
        <v>159395</v>
      </c>
      <c r="CP17" s="487"/>
      <c r="CQ17" s="16"/>
      <c r="CR17" s="16" t="s">
        <v>670</v>
      </c>
      <c r="CS17" s="560">
        <f>CS10-CS15</f>
        <v>28417557000</v>
      </c>
      <c r="CT17" s="510" t="s">
        <v>692</v>
      </c>
      <c r="CU17" s="511" t="s">
        <v>396</v>
      </c>
      <c r="CV17" s="512">
        <f t="shared" si="3"/>
        <v>44034000</v>
      </c>
      <c r="CW17" s="512">
        <f t="shared" si="4"/>
        <v>41270000</v>
      </c>
      <c r="CX17" s="513">
        <f t="shared" si="5"/>
        <v>85304000</v>
      </c>
      <c r="CY17" s="514">
        <v>24</v>
      </c>
      <c r="CZ17" s="515">
        <v>40</v>
      </c>
      <c r="DA17" s="515">
        <v>56</v>
      </c>
      <c r="DB17" s="516">
        <v>74</v>
      </c>
      <c r="DC17" s="517">
        <f t="shared" si="6"/>
        <v>1.9372303220238907</v>
      </c>
      <c r="DE17" t="s">
        <v>695</v>
      </c>
      <c r="DF17" s="296">
        <f>SUMIFS($DF$33:$DF$334,$DE$33:$DE$334,DE17)</f>
        <v>3479914</v>
      </c>
      <c r="DG17" s="478">
        <v>1</v>
      </c>
      <c r="DH17" s="296">
        <f t="shared" si="2"/>
        <v>3479914</v>
      </c>
      <c r="DI17" s="477">
        <f>DC26</f>
        <v>2.03277833409512</v>
      </c>
      <c r="DJ17" s="594">
        <f t="shared" si="8"/>
        <v>3593979.7837142856</v>
      </c>
      <c r="DK17" s="286">
        <f t="shared" si="9"/>
        <v>7073893.7837142851</v>
      </c>
      <c r="DL17" s="472">
        <f t="shared" si="10"/>
        <v>0.49193755326261113</v>
      </c>
      <c r="DM17" s="472">
        <f t="shared" si="11"/>
        <v>0.50806244673738887</v>
      </c>
      <c r="DN17" s="596">
        <f t="shared" si="12"/>
        <v>0.18731528745578332</v>
      </c>
      <c r="DO17" s="453">
        <v>32.833333333333336</v>
      </c>
      <c r="DP17" s="453">
        <v>81.833333333333329</v>
      </c>
      <c r="DQ17" s="453">
        <v>59.333333333333336</v>
      </c>
      <c r="DR17" s="453">
        <v>15.6</v>
      </c>
      <c r="DS17" s="453">
        <v>93.5</v>
      </c>
      <c r="DT17" s="453">
        <v>37.9</v>
      </c>
      <c r="DU17" s="453">
        <v>40</v>
      </c>
      <c r="DV17" s="453">
        <v>149.05000000000001</v>
      </c>
      <c r="DW17" s="453">
        <v>98.35</v>
      </c>
      <c r="DX17" s="453">
        <v>86.617876763621169</v>
      </c>
      <c r="DY17" s="408">
        <f t="shared" si="13"/>
        <v>236040905033.05792</v>
      </c>
      <c r="DZ17" s="643">
        <f t="shared" si="14"/>
        <v>67829.52252068813</v>
      </c>
      <c r="EA17" s="643">
        <f t="shared" si="15"/>
        <v>8.7868655429768125</v>
      </c>
      <c r="EC17" s="671" t="s">
        <v>700</v>
      </c>
      <c r="ED17" s="667">
        <f t="shared" si="16"/>
        <v>6.3830012371155203</v>
      </c>
      <c r="EE17" s="605">
        <f t="shared" si="17"/>
        <v>1301.068418832047</v>
      </c>
      <c r="EF17" s="605">
        <f t="shared" si="18"/>
        <v>390.3440398821927</v>
      </c>
      <c r="EG17" s="672">
        <f t="shared" si="29"/>
        <v>5.8861839643820124</v>
      </c>
      <c r="EH17" s="673">
        <f t="shared" si="30"/>
        <v>221.54419697197577</v>
      </c>
      <c r="EI17" s="671" t="s">
        <v>697</v>
      </c>
      <c r="EJ17" s="605">
        <f>EJ7*(EK41/EJ41)</f>
        <v>22.682125792844182</v>
      </c>
      <c r="EK17" s="605">
        <v>0</v>
      </c>
      <c r="EL17" s="605">
        <f>EJ17*EO41</f>
        <v>1204.0428441701454</v>
      </c>
      <c r="EM17" s="605">
        <v>0</v>
      </c>
      <c r="EN17" s="686">
        <v>0</v>
      </c>
      <c r="EO17" s="548" t="s">
        <v>693</v>
      </c>
      <c r="EP17" s="586">
        <f t="shared" si="19"/>
        <v>6.0916281949186084</v>
      </c>
      <c r="EQ17" s="601">
        <f t="shared" si="20"/>
        <v>571.5977789565294</v>
      </c>
      <c r="ER17" s="601">
        <f t="shared" si="21"/>
        <v>89.693382807563765</v>
      </c>
      <c r="ES17" s="697">
        <f t="shared" si="22"/>
        <v>4.212243717112397</v>
      </c>
      <c r="ET17" s="698">
        <f>ES17*FU396</f>
        <v>86.721030795316679</v>
      </c>
      <c r="EU17" s="544" t="s">
        <v>1609</v>
      </c>
      <c r="EV17" s="709">
        <f>EV21</f>
        <v>29.989363630794664</v>
      </c>
      <c r="EW17" s="4"/>
      <c r="EX17" s="4"/>
      <c r="EY17" s="4"/>
      <c r="EZ17" s="620" t="s">
        <v>1691</v>
      </c>
      <c r="FD17" s="598" t="s">
        <v>1840</v>
      </c>
      <c r="FE17" s="950">
        <f>FB16-FE16</f>
        <v>13.396697231692508</v>
      </c>
      <c r="FI17" s="2" t="s">
        <v>1208</v>
      </c>
      <c r="FU17" s="2"/>
    </row>
    <row r="18" spans="1:178" ht="16" customHeight="1">
      <c r="L18" s="253"/>
      <c r="P18" s="336">
        <v>2019</v>
      </c>
      <c r="Q18" s="254">
        <v>231</v>
      </c>
      <c r="R18" s="255" t="s">
        <v>36</v>
      </c>
      <c r="S18" s="255" t="s">
        <v>142</v>
      </c>
      <c r="T18" s="339">
        <f t="shared" si="52"/>
        <v>0</v>
      </c>
      <c r="U18" s="339">
        <f t="shared" si="52"/>
        <v>0</v>
      </c>
      <c r="V18" s="339">
        <f t="shared" si="52"/>
        <v>-800090000</v>
      </c>
      <c r="W18" s="339">
        <f t="shared" si="52"/>
        <v>0</v>
      </c>
      <c r="X18" s="339">
        <f t="shared" si="52"/>
        <v>-800090000</v>
      </c>
      <c r="AC18" s="272">
        <v>2019</v>
      </c>
      <c r="AD18" s="272" t="s">
        <v>489</v>
      </c>
      <c r="AE18" s="272">
        <v>47</v>
      </c>
      <c r="AF18" s="274" t="s">
        <v>398</v>
      </c>
      <c r="AG18" s="286">
        <f>(SUMIFS($AG$33:AG$179,$AE$33:$AE$179,$AE18)+SUMIFS($AH$33:$AH$179,$AE$33:$AE$179,$AE18))</f>
        <v>17990</v>
      </c>
      <c r="AH18" s="286">
        <f t="shared" si="43"/>
        <v>17695.5</v>
      </c>
      <c r="AI18" s="286">
        <f t="shared" si="36"/>
        <v>17401</v>
      </c>
      <c r="AK18" s="286">
        <f t="shared" si="37"/>
        <v>730659</v>
      </c>
      <c r="AL18" s="286">
        <f t="shared" si="47"/>
        <v>41.989483363025116</v>
      </c>
      <c r="AR18" t="s">
        <v>548</v>
      </c>
      <c r="AT18" s="397">
        <f>SUM(AT7:AT11)/SUM(AS7:AS11)</f>
        <v>4.3876916937460804</v>
      </c>
      <c r="CP18" s="487"/>
      <c r="CQ18" s="16">
        <v>2</v>
      </c>
      <c r="CR18" s="16" t="s">
        <v>454</v>
      </c>
      <c r="CS18" s="489">
        <f>SUMIFS($CU$34:$CU$915,$CQ$34:$CQ$915,CQ18)</f>
        <v>114388716</v>
      </c>
      <c r="CT18" s="484" t="s">
        <v>700</v>
      </c>
      <c r="CU18" s="474" t="s">
        <v>397</v>
      </c>
      <c r="CV18" s="466">
        <f t="shared" si="3"/>
        <v>4448926000</v>
      </c>
      <c r="CW18" s="466">
        <f t="shared" si="4"/>
        <v>375507000</v>
      </c>
      <c r="CX18" s="486">
        <f t="shared" si="5"/>
        <v>4824433000</v>
      </c>
      <c r="CY18" s="494">
        <v>25</v>
      </c>
      <c r="CZ18" s="475">
        <v>41</v>
      </c>
      <c r="DA18" s="299">
        <v>57</v>
      </c>
      <c r="DB18" s="495">
        <v>75</v>
      </c>
      <c r="DC18" s="555">
        <f t="shared" si="6"/>
        <v>1.0844039662606211</v>
      </c>
      <c r="DE18" s="482" t="s">
        <v>693</v>
      </c>
      <c r="DF18" s="648">
        <f>SUMIFS($DF$33:$DF$334,$DE$33:$DE$334,DE18)</f>
        <v>1691760</v>
      </c>
      <c r="DG18" s="649">
        <v>1</v>
      </c>
      <c r="DH18" s="648">
        <f t="shared" si="2"/>
        <v>1691760</v>
      </c>
      <c r="DI18" s="650">
        <f>DC21</f>
        <v>1.4461718276582958</v>
      </c>
      <c r="DJ18" s="651">
        <f t="shared" si="8"/>
        <v>754815.65115919849</v>
      </c>
      <c r="DK18" s="567">
        <f t="shared" si="9"/>
        <v>2446575.6511591985</v>
      </c>
      <c r="DL18" s="652">
        <f t="shared" si="10"/>
        <v>0.69148076381714851</v>
      </c>
      <c r="DM18" s="652">
        <f t="shared" si="11"/>
        <v>0.30851923618285149</v>
      </c>
      <c r="DN18" s="653">
        <f t="shared" si="12"/>
        <v>6.47848321435463E-2</v>
      </c>
      <c r="DO18" s="586">
        <v>86.166666666666671</v>
      </c>
      <c r="DP18" s="586">
        <v>149.83333333333334</v>
      </c>
      <c r="DQ18" s="586">
        <v>93.833333333333329</v>
      </c>
      <c r="DR18" s="586">
        <v>35</v>
      </c>
      <c r="DS18" s="586">
        <v>81</v>
      </c>
      <c r="DT18" s="586">
        <v>52.5</v>
      </c>
      <c r="DU18" s="586">
        <v>25.25</v>
      </c>
      <c r="DV18" s="586">
        <v>75</v>
      </c>
      <c r="DW18" s="586">
        <v>37.6</v>
      </c>
      <c r="DX18" s="586">
        <v>21.293493166879461</v>
      </c>
      <c r="DY18" s="654">
        <f t="shared" si="13"/>
        <v>268865124267.4953</v>
      </c>
      <c r="DZ18" s="655">
        <f t="shared" si="14"/>
        <v>158926.2804815667</v>
      </c>
      <c r="EA18" s="655">
        <f t="shared" si="15"/>
        <v>20.587847384758209</v>
      </c>
      <c r="EC18" s="671" t="s">
        <v>695</v>
      </c>
      <c r="ED18" s="667">
        <f t="shared" si="16"/>
        <v>14.004934263226204</v>
      </c>
      <c r="EE18" s="605">
        <f t="shared" si="17"/>
        <v>830.95943295142149</v>
      </c>
      <c r="EF18" s="605">
        <f t="shared" si="18"/>
        <v>596.75846094391682</v>
      </c>
      <c r="EG18" s="672">
        <f t="shared" si="29"/>
        <v>6.8895530950552084</v>
      </c>
      <c r="EH18" s="673">
        <f t="shared" si="30"/>
        <v>60.537576697449865</v>
      </c>
      <c r="EI18" s="685" t="s">
        <v>698</v>
      </c>
      <c r="EJ18" s="605">
        <f>EJ8*(EK42/EJ42)</f>
        <v>17.146469177493984</v>
      </c>
      <c r="EK18" s="605">
        <v>0</v>
      </c>
      <c r="EL18" s="605">
        <f>EJ18*EO42</f>
        <v>910.19173883863903</v>
      </c>
      <c r="EM18" s="605">
        <v>0</v>
      </c>
      <c r="EN18" s="686">
        <v>0</v>
      </c>
      <c r="EO18" s="710" t="s">
        <v>1598</v>
      </c>
      <c r="EP18" s="711">
        <f>SUM(EP4:EP17)</f>
        <v>68.521910232126146</v>
      </c>
      <c r="EQ18" s="712">
        <f t="shared" ref="EQ18:ET18" si="53">SUM(EQ4:EQ17)</f>
        <v>5537.3533848626294</v>
      </c>
      <c r="ER18" s="712">
        <f t="shared" si="53"/>
        <v>3097.0818721251503</v>
      </c>
      <c r="ES18" s="712">
        <f t="shared" si="53"/>
        <v>38.996505862659305</v>
      </c>
      <c r="ET18" s="713">
        <f t="shared" si="53"/>
        <v>736.06501664322741</v>
      </c>
      <c r="EU18" s="687" t="s">
        <v>800</v>
      </c>
      <c r="EV18" s="600" t="s">
        <v>1599</v>
      </c>
      <c r="EW18" s="600" t="s">
        <v>1600</v>
      </c>
      <c r="EX18" s="600" t="s">
        <v>1601</v>
      </c>
      <c r="EY18" s="600" t="s">
        <v>1689</v>
      </c>
      <c r="EZ18" s="701" t="s">
        <v>1690</v>
      </c>
      <c r="FH18" t="s">
        <v>797</v>
      </c>
      <c r="FI18" t="s">
        <v>804</v>
      </c>
      <c r="FJ18" t="s">
        <v>805</v>
      </c>
      <c r="FK18" t="s">
        <v>800</v>
      </c>
      <c r="FL18" t="s">
        <v>678</v>
      </c>
      <c r="FM18" t="s">
        <v>794</v>
      </c>
      <c r="FN18" t="s">
        <v>353</v>
      </c>
      <c r="FO18" t="s">
        <v>803</v>
      </c>
      <c r="FP18" t="s">
        <v>1627</v>
      </c>
      <c r="FQ18" t="s">
        <v>1628</v>
      </c>
      <c r="FR18" t="s">
        <v>1680</v>
      </c>
      <c r="FS18" t="s">
        <v>1815</v>
      </c>
      <c r="FU18" s="2"/>
    </row>
    <row r="19" spans="1:178" ht="16" customHeight="1">
      <c r="A19" s="252" t="s">
        <v>237</v>
      </c>
      <c r="L19" s="253"/>
      <c r="P19" s="336">
        <v>2019</v>
      </c>
      <c r="Q19" s="254">
        <v>232</v>
      </c>
      <c r="R19" s="255" t="s">
        <v>36</v>
      </c>
      <c r="S19" s="255" t="s">
        <v>145</v>
      </c>
      <c r="T19" s="339">
        <f t="shared" si="52"/>
        <v>0</v>
      </c>
      <c r="U19" s="339">
        <f t="shared" si="52"/>
        <v>0</v>
      </c>
      <c r="V19" s="339">
        <f t="shared" si="52"/>
        <v>0</v>
      </c>
      <c r="W19" s="339">
        <f t="shared" si="52"/>
        <v>316754000</v>
      </c>
      <c r="X19" s="339">
        <f t="shared" si="52"/>
        <v>316754000</v>
      </c>
      <c r="AC19" s="272">
        <v>2019</v>
      </c>
      <c r="AD19" s="272" t="s">
        <v>489</v>
      </c>
      <c r="AE19" s="272">
        <v>48</v>
      </c>
      <c r="AF19" s="274" t="s">
        <v>399</v>
      </c>
      <c r="AG19" s="286">
        <f>(SUMIFS($AG$33:AG$179,$AE$33:$AE$179,$AE19)+SUMIFS($AH$33:$AH$179,$AE$33:$AE$179,$AE19))</f>
        <v>77</v>
      </c>
      <c r="AH19" s="286">
        <f t="shared" si="43"/>
        <v>72</v>
      </c>
      <c r="AI19" s="286">
        <f t="shared" si="36"/>
        <v>67</v>
      </c>
      <c r="AK19" s="286">
        <f t="shared" si="37"/>
        <v>5277</v>
      </c>
      <c r="AL19" s="286">
        <f t="shared" si="47"/>
        <v>78.761194029850742</v>
      </c>
      <c r="AT19" s="397"/>
      <c r="CP19" s="487"/>
      <c r="CQ19" s="16">
        <v>3</v>
      </c>
      <c r="CR19" s="16" t="s">
        <v>455</v>
      </c>
      <c r="CS19" s="489">
        <f>SUMIFS($CU$34:$CU$915,$CQ$34:$CQ$915,CQ19)</f>
        <v>45331905</v>
      </c>
      <c r="CT19" s="522" t="s">
        <v>695</v>
      </c>
      <c r="CU19" s="523" t="s">
        <v>408</v>
      </c>
      <c r="CV19" s="524">
        <f t="shared" si="3"/>
        <v>565770000</v>
      </c>
      <c r="CW19" s="524">
        <f t="shared" si="4"/>
        <v>581798000</v>
      </c>
      <c r="CX19" s="525">
        <f t="shared" si="5"/>
        <v>1147568000</v>
      </c>
      <c r="CY19" s="526"/>
      <c r="CZ19" s="527"/>
      <c r="DA19" s="528">
        <v>61</v>
      </c>
      <c r="DB19" s="529">
        <v>79</v>
      </c>
      <c r="DC19" s="530">
        <f t="shared" si="6"/>
        <v>2.0283295332025379</v>
      </c>
      <c r="DE19" s="2" t="s">
        <v>792</v>
      </c>
      <c r="DF19" s="656">
        <f>SUM(DF3:DF18)</f>
        <v>33261670</v>
      </c>
      <c r="DG19" s="656"/>
      <c r="DH19" s="656">
        <f>SUM(DH3:DH18)</f>
        <v>20743516.764471449</v>
      </c>
      <c r="DI19" s="2"/>
      <c r="DJ19" s="656">
        <f>SUM(DJ3:DJ18)</f>
        <v>17021119.960035685</v>
      </c>
      <c r="DK19" s="656">
        <f>SUM(DK3:DK18)</f>
        <v>37764636.724507131</v>
      </c>
      <c r="DL19" s="657"/>
      <c r="DM19" s="657"/>
      <c r="DN19" s="658">
        <f t="shared" si="12"/>
        <v>1</v>
      </c>
      <c r="DX19" s="598" t="s">
        <v>792</v>
      </c>
      <c r="DY19" s="645">
        <f>SUM(DY3:DY18)</f>
        <v>2018522855618.3264</v>
      </c>
      <c r="DZ19" s="646">
        <f t="shared" ref="DZ19" si="54">DY19/DK19</f>
        <v>53450.080040315028</v>
      </c>
      <c r="EA19" s="655">
        <f t="shared" si="15"/>
        <v>6.9241039759988006</v>
      </c>
      <c r="EC19" s="548" t="s">
        <v>693</v>
      </c>
      <c r="ED19" s="599">
        <f t="shared" si="16"/>
        <v>4.8437440838280974</v>
      </c>
      <c r="EE19" s="601">
        <f t="shared" si="17"/>
        <v>454.50465319920312</v>
      </c>
      <c r="EF19" s="601">
        <f t="shared" si="18"/>
        <v>71.31948609323662</v>
      </c>
      <c r="EG19" s="664">
        <f t="shared" si="29"/>
        <v>3.349355858820247</v>
      </c>
      <c r="EH19" s="674">
        <f t="shared" si="30"/>
        <v>68.956027258637008</v>
      </c>
      <c r="EI19" s="548" t="s">
        <v>695</v>
      </c>
      <c r="EJ19" s="601">
        <f>EJ9*(EK48/EJ48)</f>
        <v>27.955857580448818</v>
      </c>
      <c r="EK19" s="601">
        <v>0</v>
      </c>
      <c r="EL19" s="601">
        <f>EJ19*EO48</f>
        <v>1658.7142164399634</v>
      </c>
      <c r="EM19" s="601">
        <v>0</v>
      </c>
      <c r="EN19" s="698">
        <v>0</v>
      </c>
      <c r="EO19" s="480"/>
      <c r="EP19" s="16"/>
      <c r="EQ19" s="16"/>
      <c r="ER19" s="598" t="s">
        <v>1840</v>
      </c>
      <c r="ES19" s="950">
        <f>EP18-ES18</f>
        <v>29.525404369466841</v>
      </c>
      <c r="ET19" s="16"/>
      <c r="EU19" s="714" t="s">
        <v>699</v>
      </c>
      <c r="EV19" s="709">
        <f>EW19/EO109</f>
        <v>0.80989526699731051</v>
      </c>
      <c r="EW19" s="709">
        <f>EW21*EL109</f>
        <v>235.40955760721826</v>
      </c>
      <c r="EX19" s="715">
        <f>EY19*EV109</f>
        <v>32.566711403029132</v>
      </c>
      <c r="EY19" s="709">
        <f>EV19*EJ109</f>
        <v>0.74685752929334437</v>
      </c>
      <c r="EZ19" s="716">
        <f>EY19*EA14</f>
        <v>17.379693575463541</v>
      </c>
      <c r="FH19">
        <v>19</v>
      </c>
      <c r="FI19" t="s">
        <v>1040</v>
      </c>
      <c r="FJ19" t="s">
        <v>732</v>
      </c>
      <c r="FK19" t="s">
        <v>694</v>
      </c>
      <c r="FL19" s="286">
        <v>2122</v>
      </c>
      <c r="FM19" s="286">
        <v>61860</v>
      </c>
      <c r="FN19" s="286">
        <v>15740892</v>
      </c>
      <c r="FO19" s="286">
        <v>3237440</v>
      </c>
      <c r="FP19">
        <v>36</v>
      </c>
      <c r="FQ19" s="925">
        <v>7463.6077432689826</v>
      </c>
      <c r="FR19" s="926">
        <v>461698774.99861926</v>
      </c>
      <c r="FS19">
        <v>1</v>
      </c>
      <c r="FU19" s="2"/>
      <c r="FV19" s="788">
        <f>FM19/FL19</f>
        <v>29.151743638077285</v>
      </c>
    </row>
    <row r="20" spans="1:178" ht="16" customHeight="1">
      <c r="E20" s="250" t="s">
        <v>238</v>
      </c>
      <c r="F20" s="203" t="s">
        <v>239</v>
      </c>
      <c r="G20" s="250" t="s">
        <v>275</v>
      </c>
      <c r="H20" s="250" t="s">
        <v>276</v>
      </c>
      <c r="I20" s="251" t="s">
        <v>277</v>
      </c>
      <c r="J20" s="251" t="s">
        <v>278</v>
      </c>
      <c r="K20" s="251" t="s">
        <v>279</v>
      </c>
      <c r="L20" s="253"/>
      <c r="P20" s="336">
        <v>2019</v>
      </c>
      <c r="Q20" s="254">
        <v>233</v>
      </c>
      <c r="R20" s="255" t="s">
        <v>36</v>
      </c>
      <c r="S20" s="255" t="s">
        <v>152</v>
      </c>
      <c r="T20" s="339">
        <f t="shared" si="52"/>
        <v>0</v>
      </c>
      <c r="U20" s="339">
        <f t="shared" si="52"/>
        <v>0</v>
      </c>
      <c r="V20" s="339">
        <f t="shared" si="52"/>
        <v>0</v>
      </c>
      <c r="W20" s="339">
        <f t="shared" si="52"/>
        <v>0</v>
      </c>
      <c r="X20" s="339">
        <f t="shared" si="52"/>
        <v>0</v>
      </c>
      <c r="AC20" s="272">
        <v>2019</v>
      </c>
      <c r="AD20" s="272" t="s">
        <v>489</v>
      </c>
      <c r="AE20" s="272">
        <v>49</v>
      </c>
      <c r="AF20" s="274" t="s">
        <v>490</v>
      </c>
      <c r="AG20" s="286">
        <f>(SUMIFS($AG$33:AG$179,$AE$33:$AE$179,$AE20)+SUMIFS($AH$33:$AH$179,$AE$33:$AE$179,$AE20))</f>
        <v>13001</v>
      </c>
      <c r="AH20" s="286">
        <f t="shared" si="43"/>
        <v>12597.5</v>
      </c>
      <c r="AI20" s="286">
        <f t="shared" si="36"/>
        <v>12194</v>
      </c>
      <c r="AK20" s="286">
        <f t="shared" si="37"/>
        <v>1282454</v>
      </c>
      <c r="AL20" s="286">
        <f t="shared" si="47"/>
        <v>105.17090372314253</v>
      </c>
      <c r="AN20" s="2" t="s">
        <v>553</v>
      </c>
      <c r="CP20" s="479"/>
      <c r="CQ20" s="482">
        <v>4</v>
      </c>
      <c r="CR20" s="482" t="s">
        <v>456</v>
      </c>
      <c r="CS20" s="490">
        <f>SUMIFS($CU$34:$CU$915,$CQ$34:$CQ$915,CQ20)</f>
        <v>284889314</v>
      </c>
      <c r="CT20" s="522" t="s">
        <v>695</v>
      </c>
      <c r="CU20" s="523" t="s">
        <v>409</v>
      </c>
      <c r="CV20" s="524">
        <f t="shared" si="3"/>
        <v>2300300000</v>
      </c>
      <c r="CW20" s="524">
        <f t="shared" si="4"/>
        <v>2378217000</v>
      </c>
      <c r="CX20" s="525">
        <f t="shared" si="5"/>
        <v>4678517000</v>
      </c>
      <c r="CY20" s="526"/>
      <c r="CZ20" s="531"/>
      <c r="DA20" s="528">
        <v>62</v>
      </c>
      <c r="DB20" s="529">
        <v>80</v>
      </c>
      <c r="DC20" s="530">
        <f t="shared" si="6"/>
        <v>2.0338725383645611</v>
      </c>
      <c r="DX20" s="598" t="s">
        <v>1682</v>
      </c>
      <c r="DY20" s="644">
        <f>SUM(DY3:DY13)+DY15+DY17+DY18</f>
        <v>1133565732131.5151</v>
      </c>
      <c r="DZ20" s="647">
        <f>DY20/(DK19-DK16-DK14)</f>
        <v>32940.067585182362</v>
      </c>
      <c r="EA20" s="647"/>
      <c r="EC20" s="548" t="s">
        <v>1598</v>
      </c>
      <c r="ED20" s="675">
        <f>SUM(ED4:ED19)</f>
        <v>74.766637862017191</v>
      </c>
      <c r="EE20" s="606">
        <f>SUM(EE4:EE19)</f>
        <v>5479.628643809353</v>
      </c>
      <c r="EF20" s="606">
        <f>SUM(EF4:EF19)</f>
        <v>3622.2326159372778</v>
      </c>
      <c r="EG20" s="606">
        <f>SUM(EG4:EG19)</f>
        <v>41.068129881081511</v>
      </c>
      <c r="EH20" s="676">
        <f>SUM(EH4:EH19)</f>
        <v>517.69197449245564</v>
      </c>
      <c r="EI20" s="548" t="s">
        <v>1598</v>
      </c>
      <c r="EJ20" s="606">
        <f>SUM(EJ14:EJ19)</f>
        <v>110.94645494369909</v>
      </c>
      <c r="EK20" s="606">
        <v>0</v>
      </c>
      <c r="EL20" s="606">
        <f>SUM(EL14:EL19)</f>
        <v>6300.980944217572</v>
      </c>
      <c r="EM20" s="606">
        <v>0</v>
      </c>
      <c r="EN20" s="676">
        <v>0</v>
      </c>
      <c r="EU20" s="687" t="s">
        <v>700</v>
      </c>
      <c r="EV20" s="606">
        <f>EW20/EO110</f>
        <v>29.179468363797351</v>
      </c>
      <c r="EW20" s="704">
        <f>EW21*EL110</f>
        <v>5947.7483014873605</v>
      </c>
      <c r="EX20" s="606">
        <f>EY20*EV110</f>
        <v>1784.4319842066102</v>
      </c>
      <c r="EY20" s="606">
        <f>EV20*EJ109</f>
        <v>26.908301031411465</v>
      </c>
      <c r="EZ20" s="676">
        <f>EY20*EA16</f>
        <v>1012.7746567143051</v>
      </c>
      <c r="FH20">
        <v>41</v>
      </c>
      <c r="FI20" t="s">
        <v>1073</v>
      </c>
      <c r="FJ20" t="s">
        <v>1074</v>
      </c>
      <c r="FK20" t="s">
        <v>694</v>
      </c>
      <c r="FL20" s="286">
        <v>8596</v>
      </c>
      <c r="FM20" s="286">
        <v>287726</v>
      </c>
      <c r="FN20" s="286">
        <v>79077880</v>
      </c>
      <c r="FO20" s="286">
        <v>23656922</v>
      </c>
      <c r="FP20">
        <v>36</v>
      </c>
      <c r="FQ20" s="925">
        <v>7463.6077432689826</v>
      </c>
      <c r="FR20" s="926">
        <v>2147474001.5398114</v>
      </c>
      <c r="FS20">
        <v>1</v>
      </c>
      <c r="FU20" s="2"/>
      <c r="FV20" s="788">
        <f>FM20/FL20</f>
        <v>33.472080037226618</v>
      </c>
    </row>
    <row r="21" spans="1:178" ht="16" customHeight="1">
      <c r="E21" s="203"/>
      <c r="F21" s="203" t="s">
        <v>240</v>
      </c>
      <c r="G21" s="203"/>
      <c r="H21" s="203"/>
      <c r="I21" s="202" t="s">
        <v>241</v>
      </c>
      <c r="J21" s="202" t="s">
        <v>242</v>
      </c>
      <c r="K21" s="202" t="s">
        <v>243</v>
      </c>
      <c r="L21" s="253"/>
      <c r="P21" s="336">
        <v>2019</v>
      </c>
      <c r="Q21" s="254">
        <v>234</v>
      </c>
      <c r="R21" s="255" t="s">
        <v>36</v>
      </c>
      <c r="S21" s="255" t="s">
        <v>153</v>
      </c>
      <c r="T21" s="339">
        <f t="shared" si="52"/>
        <v>0</v>
      </c>
      <c r="U21" s="339">
        <f t="shared" si="52"/>
        <v>0</v>
      </c>
      <c r="V21" s="339">
        <f t="shared" si="52"/>
        <v>0</v>
      </c>
      <c r="W21" s="339">
        <f t="shared" si="52"/>
        <v>0</v>
      </c>
      <c r="X21" s="339">
        <f t="shared" si="52"/>
        <v>0</v>
      </c>
      <c r="AC21" s="272">
        <v>2019</v>
      </c>
      <c r="AD21" s="272" t="s">
        <v>489</v>
      </c>
      <c r="AE21" s="272">
        <v>50</v>
      </c>
      <c r="AF21" s="274" t="s">
        <v>408</v>
      </c>
      <c r="AG21" s="286">
        <f>(SUMIFS($AG$33:AG$179,$AE$33:$AE$179,$AE21)+SUMIFS($AH$33:$AH$179,$AE$33:$AE$179,$AE21))</f>
        <v>13</v>
      </c>
      <c r="AH21" s="286">
        <f t="shared" si="43"/>
        <v>13</v>
      </c>
      <c r="AI21" s="286">
        <f t="shared" si="36"/>
        <v>13</v>
      </c>
      <c r="AK21" s="286">
        <f t="shared" si="37"/>
        <v>1209</v>
      </c>
      <c r="AL21" s="286">
        <f t="shared" si="47"/>
        <v>93</v>
      </c>
      <c r="CP21" s="487"/>
      <c r="CQ21" s="16">
        <v>7</v>
      </c>
      <c r="CR21" s="39" t="s">
        <v>672</v>
      </c>
      <c r="CS21" s="559">
        <f>SUMIFS($CU$34:$CU$915,$CQ$34:$CQ$915,CQ21)</f>
        <v>444609935</v>
      </c>
      <c r="CT21" s="484" t="s">
        <v>693</v>
      </c>
      <c r="CU21" s="474" t="s">
        <v>398</v>
      </c>
      <c r="CV21" s="466">
        <f t="shared" si="3"/>
        <v>1599079000</v>
      </c>
      <c r="CW21" s="466">
        <f t="shared" si="4"/>
        <v>713464000</v>
      </c>
      <c r="CX21" s="486">
        <f t="shared" si="5"/>
        <v>2312543000</v>
      </c>
      <c r="CY21" s="494">
        <v>26</v>
      </c>
      <c r="CZ21" s="299">
        <v>42</v>
      </c>
      <c r="DA21" s="299">
        <v>58</v>
      </c>
      <c r="DB21" s="495">
        <v>76</v>
      </c>
      <c r="DC21" s="555">
        <f t="shared" si="6"/>
        <v>1.4461718276582958</v>
      </c>
      <c r="DX21" s="598" t="s">
        <v>1683</v>
      </c>
      <c r="DY21" s="644">
        <f>DY14+DY16</f>
        <v>884957123486.8114</v>
      </c>
      <c r="DZ21" s="647">
        <f>DY21/(DK14+DK16)</f>
        <v>264035.35767473228</v>
      </c>
      <c r="EA21" s="647"/>
      <c r="EE21" s="476"/>
      <c r="EF21" s="476"/>
      <c r="EG21" s="476"/>
      <c r="EI21" s="694" t="s">
        <v>1720</v>
      </c>
      <c r="EJ21" s="695"/>
      <c r="EK21" s="4"/>
      <c r="EL21" s="4"/>
      <c r="EM21" s="4"/>
      <c r="EN21" s="481"/>
      <c r="EU21" s="548" t="s">
        <v>1598</v>
      </c>
      <c r="EV21" s="606">
        <f>SUM(EV19:EV20)</f>
        <v>29.989363630794664</v>
      </c>
      <c r="EW21" s="704">
        <f>EL10</f>
        <v>6183.1578590945792</v>
      </c>
      <c r="EX21" s="606">
        <f t="shared" ref="EX21:EZ21" si="55">SUM(EX19:EX20)</f>
        <v>1816.9986956096393</v>
      </c>
      <c r="EY21" s="606">
        <f t="shared" si="55"/>
        <v>27.655158560704809</v>
      </c>
      <c r="EZ21" s="676">
        <f t="shared" si="55"/>
        <v>1030.1543502897687</v>
      </c>
      <c r="FL21" s="286">
        <f>FL19+FL20</f>
        <v>10718</v>
      </c>
      <c r="FM21" s="286">
        <f>FM19+FM20</f>
        <v>349586</v>
      </c>
      <c r="FQ21" s="643">
        <f>FR21/FM21</f>
        <v>7463.6077432689826</v>
      </c>
      <c r="FR21" s="408">
        <f>FR19+FR20</f>
        <v>2609172776.5384307</v>
      </c>
      <c r="FT21" s="927">
        <f>-1*(PMT($EA$23,$EA$24,FQ21,$EA$25*FQ21)/(365*24))</f>
        <v>0.96686096655954823</v>
      </c>
      <c r="FU21" s="790">
        <f>FT21*FV21</f>
        <v>31.535832977765093</v>
      </c>
      <c r="FV21" s="788">
        <f>FM21/FL21</f>
        <v>32.616719537227098</v>
      </c>
    </row>
    <row r="22" spans="1:178" ht="16" customHeight="1">
      <c r="A22">
        <v>2019</v>
      </c>
      <c r="B22">
        <v>3740</v>
      </c>
      <c r="C22" t="s">
        <v>244</v>
      </c>
      <c r="D22" t="s">
        <v>245</v>
      </c>
      <c r="E22" s="203">
        <v>91</v>
      </c>
      <c r="F22" s="203" t="s">
        <v>246</v>
      </c>
      <c r="G22" s="203" t="s">
        <v>247</v>
      </c>
      <c r="H22" s="203" t="s">
        <v>248</v>
      </c>
      <c r="I22" s="202">
        <v>0</v>
      </c>
      <c r="J22" s="202">
        <v>0</v>
      </c>
      <c r="K22" s="202">
        <v>0</v>
      </c>
      <c r="L22" s="253"/>
      <c r="P22" s="336">
        <v>2019</v>
      </c>
      <c r="Q22" s="254">
        <v>235</v>
      </c>
      <c r="R22" s="255" t="s">
        <v>36</v>
      </c>
      <c r="S22" s="255" t="s">
        <v>202</v>
      </c>
      <c r="T22" s="339">
        <f t="shared" si="52"/>
        <v>0</v>
      </c>
      <c r="U22" s="339">
        <f t="shared" si="52"/>
        <v>0</v>
      </c>
      <c r="V22" s="339">
        <f t="shared" si="52"/>
        <v>-660285000</v>
      </c>
      <c r="W22" s="339">
        <f t="shared" si="52"/>
        <v>0</v>
      </c>
      <c r="X22" s="339">
        <f t="shared" si="52"/>
        <v>-660285000</v>
      </c>
      <c r="AC22" s="272">
        <v>2019</v>
      </c>
      <c r="AD22" s="272" t="s">
        <v>489</v>
      </c>
      <c r="AE22" s="272">
        <v>51</v>
      </c>
      <c r="AF22" s="274" t="s">
        <v>409</v>
      </c>
      <c r="AG22" s="286">
        <f>(SUMIFS($AG$33:AG$179,$AE$33:$AE$179,$AE22)+SUMIFS($AH$33:$AH$179,$AE$33:$AE$179,$AE22))</f>
        <v>267</v>
      </c>
      <c r="AH22" s="286">
        <f t="shared" si="43"/>
        <v>236</v>
      </c>
      <c r="AI22" s="286">
        <f t="shared" si="36"/>
        <v>205</v>
      </c>
      <c r="AK22" s="286">
        <f t="shared" si="37"/>
        <v>19854</v>
      </c>
      <c r="AL22" s="286">
        <f t="shared" si="47"/>
        <v>96.848780487804873</v>
      </c>
      <c r="CP22" s="487"/>
      <c r="CQ22" s="16"/>
      <c r="CR22" s="565" t="s">
        <v>671</v>
      </c>
      <c r="CS22" s="566">
        <f>CS14/CS21</f>
        <v>74.766637862017191</v>
      </c>
      <c r="CT22" s="484" t="s">
        <v>709</v>
      </c>
      <c r="CU22" s="537" t="s">
        <v>702</v>
      </c>
      <c r="CV22" s="466">
        <f t="shared" si="3"/>
        <v>19066041000</v>
      </c>
      <c r="CW22" s="466">
        <f t="shared" si="4"/>
        <v>13852045000</v>
      </c>
      <c r="CX22" s="486">
        <f t="shared" si="5"/>
        <v>32918086000</v>
      </c>
      <c r="CY22" s="538">
        <v>30</v>
      </c>
      <c r="CZ22" s="539">
        <v>46</v>
      </c>
      <c r="DA22" s="539">
        <v>64</v>
      </c>
      <c r="DB22" s="540">
        <v>82</v>
      </c>
      <c r="DC22" s="541"/>
      <c r="DX22" s="597"/>
      <c r="DY22" s="597"/>
      <c r="DZ22" s="597"/>
      <c r="EA22" s="597"/>
      <c r="EE22" s="476"/>
      <c r="EF22" s="476"/>
      <c r="EG22" s="476"/>
      <c r="EI22" s="696"/>
      <c r="EJ22" s="16"/>
      <c r="EK22" s="773" t="s">
        <v>1719</v>
      </c>
      <c r="EL22" s="608"/>
      <c r="EM22" s="608"/>
      <c r="EN22" s="774"/>
      <c r="EU22" s="718"/>
      <c r="EV22" s="169"/>
      <c r="EW22" s="169"/>
      <c r="EX22" s="169"/>
      <c r="EY22" s="169"/>
      <c r="EZ22" s="542"/>
      <c r="FI22" s="2" t="s">
        <v>1208</v>
      </c>
      <c r="FU22" s="2"/>
    </row>
    <row r="23" spans="1:178" ht="16" customHeight="1">
      <c r="A23">
        <v>2019</v>
      </c>
      <c r="B23">
        <v>3740</v>
      </c>
      <c r="C23" t="s">
        <v>244</v>
      </c>
      <c r="D23" t="s">
        <v>245</v>
      </c>
      <c r="E23" s="203">
        <v>92</v>
      </c>
      <c r="F23" s="203" t="s">
        <v>246</v>
      </c>
      <c r="G23" s="203" t="s">
        <v>247</v>
      </c>
      <c r="H23" s="204" t="s">
        <v>249</v>
      </c>
      <c r="I23" s="202">
        <v>203</v>
      </c>
      <c r="J23" s="202">
        <v>36175</v>
      </c>
      <c r="K23" s="202">
        <v>73476000</v>
      </c>
      <c r="L23" s="253"/>
      <c r="P23" s="336">
        <v>2019</v>
      </c>
      <c r="Q23" s="254">
        <v>236</v>
      </c>
      <c r="R23" s="255" t="s">
        <v>36</v>
      </c>
      <c r="S23" s="255" t="s">
        <v>156</v>
      </c>
      <c r="T23" s="339">
        <f t="shared" si="52"/>
        <v>0</v>
      </c>
      <c r="U23" s="339">
        <f t="shared" si="52"/>
        <v>0</v>
      </c>
      <c r="V23" s="339">
        <f t="shared" si="52"/>
        <v>0</v>
      </c>
      <c r="W23" s="339">
        <f t="shared" si="52"/>
        <v>0</v>
      </c>
      <c r="X23" s="339">
        <f t="shared" si="52"/>
        <v>0</v>
      </c>
      <c r="AC23" s="272">
        <v>2019</v>
      </c>
      <c r="AD23" s="272" t="s">
        <v>489</v>
      </c>
      <c r="AE23" s="272">
        <v>52</v>
      </c>
      <c r="AF23" s="274" t="s">
        <v>491</v>
      </c>
      <c r="AG23" s="286">
        <f>(SUMIFS($AG$33:AG$179,$AE$33:$AE$179,$AE23)+SUMIFS($AH$33:$AH$179,$AE$33:$AE$179,$AE23))</f>
        <v>1768</v>
      </c>
      <c r="AH23" s="286">
        <f t="shared" si="43"/>
        <v>1766</v>
      </c>
      <c r="AI23" s="286">
        <f t="shared" si="36"/>
        <v>1764</v>
      </c>
      <c r="AK23" s="286">
        <f t="shared" si="37"/>
        <v>106996</v>
      </c>
      <c r="AL23" s="286">
        <f t="shared" si="47"/>
        <v>60.655328798185941</v>
      </c>
      <c r="CP23" s="487"/>
      <c r="CQ23" s="16"/>
      <c r="CR23" s="565" t="s">
        <v>673</v>
      </c>
      <c r="CS23" s="566">
        <f>CS11/CS18</f>
        <v>108.88515437134551</v>
      </c>
      <c r="CT23" s="543" t="s">
        <v>708</v>
      </c>
      <c r="CU23" s="169"/>
      <c r="CV23" s="169"/>
      <c r="CW23" s="169"/>
      <c r="CX23" s="542"/>
      <c r="CY23" s="169"/>
      <c r="CZ23" s="169"/>
      <c r="DA23" s="169"/>
      <c r="DB23" s="169"/>
      <c r="DC23" s="542"/>
      <c r="DX23" s="597"/>
      <c r="DY23" s="597"/>
      <c r="DZ23" s="597" t="s">
        <v>1686</v>
      </c>
      <c r="EA23" s="660">
        <v>3.4799999999999998E-2</v>
      </c>
      <c r="EE23" s="476"/>
      <c r="EF23" s="476"/>
      <c r="EG23" s="476"/>
      <c r="EI23" s="714"/>
      <c r="EJ23" s="4"/>
      <c r="EK23" s="775" t="s">
        <v>1717</v>
      </c>
      <c r="EL23" s="776" t="s">
        <v>434</v>
      </c>
      <c r="EM23" s="780">
        <v>43.27</v>
      </c>
      <c r="EN23" s="785">
        <f t="shared" ref="EN23:EN31" si="56">(-1*PMT($EA$23,$EA$24,$EM23,0.1*$EM23))/(365*24)</f>
        <v>5.6053420091324207E-3</v>
      </c>
      <c r="EU23" s="544" t="s">
        <v>1604</v>
      </c>
      <c r="EV23" s="709">
        <f>EV26</f>
        <v>0</v>
      </c>
      <c r="EW23" s="4"/>
      <c r="EX23" s="4"/>
      <c r="EY23" s="4"/>
      <c r="EZ23" s="620" t="s">
        <v>1691</v>
      </c>
      <c r="FH23" t="s">
        <v>797</v>
      </c>
      <c r="FI23" t="s">
        <v>804</v>
      </c>
      <c r="FJ23" t="s">
        <v>805</v>
      </c>
      <c r="FK23" t="s">
        <v>800</v>
      </c>
      <c r="FL23" t="s">
        <v>678</v>
      </c>
      <c r="FM23" t="s">
        <v>794</v>
      </c>
      <c r="FN23" t="s">
        <v>353</v>
      </c>
      <c r="FO23" t="s">
        <v>803</v>
      </c>
      <c r="FP23" t="s">
        <v>1627</v>
      </c>
      <c r="FQ23" t="s">
        <v>1628</v>
      </c>
      <c r="FR23" t="s">
        <v>1680</v>
      </c>
      <c r="FS23" t="s">
        <v>1815</v>
      </c>
      <c r="FU23" s="2"/>
      <c r="FV23" s="788"/>
    </row>
    <row r="24" spans="1:178" ht="16" customHeight="1">
      <c r="A24">
        <v>2019</v>
      </c>
      <c r="B24">
        <v>3740</v>
      </c>
      <c r="C24" t="s">
        <v>244</v>
      </c>
      <c r="D24" t="s">
        <v>245</v>
      </c>
      <c r="E24" s="203">
        <v>93</v>
      </c>
      <c r="F24" s="203" t="s">
        <v>250</v>
      </c>
      <c r="G24" s="203" t="s">
        <v>247</v>
      </c>
      <c r="H24" s="203" t="s">
        <v>248</v>
      </c>
      <c r="I24" s="202">
        <v>13</v>
      </c>
      <c r="J24" s="202">
        <v>579</v>
      </c>
      <c r="K24" s="202">
        <v>3146000</v>
      </c>
      <c r="L24" s="253"/>
      <c r="P24" s="336">
        <v>2019</v>
      </c>
      <c r="Q24" s="254">
        <v>237</v>
      </c>
      <c r="R24" s="255" t="s">
        <v>36</v>
      </c>
      <c r="S24" s="255" t="s">
        <v>158</v>
      </c>
      <c r="T24" s="339">
        <f t="shared" si="52"/>
        <v>3569000</v>
      </c>
      <c r="U24" s="339">
        <f t="shared" si="52"/>
        <v>30901000</v>
      </c>
      <c r="V24" s="339">
        <f t="shared" si="52"/>
        <v>26000</v>
      </c>
      <c r="W24" s="339">
        <f t="shared" si="52"/>
        <v>10658000</v>
      </c>
      <c r="X24" s="339">
        <f t="shared" si="52"/>
        <v>45154000</v>
      </c>
      <c r="AD24" s="289"/>
      <c r="AG24" s="296"/>
      <c r="AH24" s="296"/>
      <c r="AX24" s="2" t="s">
        <v>564</v>
      </c>
      <c r="CP24" s="487"/>
      <c r="CQ24" s="16"/>
      <c r="CR24" s="565" t="s">
        <v>674</v>
      </c>
      <c r="CS24" s="566">
        <f>CS12/CS19</f>
        <v>27.918460519142091</v>
      </c>
      <c r="CT24" s="505" t="s">
        <v>694</v>
      </c>
      <c r="CU24" s="506" t="s">
        <v>283</v>
      </c>
      <c r="CV24" s="507">
        <f>CV7+CV8</f>
        <v>593225000</v>
      </c>
      <c r="CW24" s="507">
        <f t="shared" ref="CW24:CX24" si="57">CW7+CW8</f>
        <v>575789000</v>
      </c>
      <c r="CX24" s="508">
        <f t="shared" si="57"/>
        <v>1169014000</v>
      </c>
      <c r="CY24" s="509"/>
      <c r="CZ24" s="509"/>
      <c r="DA24" s="509"/>
      <c r="DB24" s="509"/>
      <c r="DC24" s="556">
        <f t="shared" ref="DC24:DC26" si="58">CX24/CV24</f>
        <v>1.9706081166505121</v>
      </c>
      <c r="DZ24" s="597" t="s">
        <v>1687</v>
      </c>
      <c r="EA24" s="661">
        <v>1</v>
      </c>
      <c r="EE24" s="476"/>
      <c r="EF24" s="476"/>
      <c r="EG24" s="476"/>
      <c r="EI24" s="784" t="s">
        <v>1718</v>
      </c>
      <c r="EJ24" s="608"/>
      <c r="EK24" s="608"/>
      <c r="EL24" s="777" t="s">
        <v>1711</v>
      </c>
      <c r="EM24" s="781">
        <f>FQ62</f>
        <v>231.198769823921</v>
      </c>
      <c r="EN24" s="786">
        <f t="shared" si="56"/>
        <v>2.9950269862578257E-2</v>
      </c>
      <c r="EU24" s="687" t="s">
        <v>800</v>
      </c>
      <c r="EV24" s="600" t="s">
        <v>1599</v>
      </c>
      <c r="EW24" s="600" t="s">
        <v>1600</v>
      </c>
      <c r="EX24" s="600" t="s">
        <v>1601</v>
      </c>
      <c r="EY24" s="600" t="s">
        <v>1689</v>
      </c>
      <c r="EZ24" s="701" t="s">
        <v>1690</v>
      </c>
      <c r="FB24" s="683"/>
      <c r="FD24" s="683" t="s">
        <v>1798</v>
      </c>
      <c r="FH24">
        <v>14</v>
      </c>
      <c r="FI24" t="s">
        <v>1016</v>
      </c>
      <c r="FJ24" t="s">
        <v>1017</v>
      </c>
      <c r="FK24" t="s">
        <v>688</v>
      </c>
      <c r="FL24" s="286">
        <v>94262</v>
      </c>
      <c r="FM24" s="286">
        <v>10108470</v>
      </c>
      <c r="FN24" s="286">
        <v>119023947</v>
      </c>
      <c r="FO24" s="286">
        <v>51730414.000000007</v>
      </c>
      <c r="FP24">
        <v>12</v>
      </c>
      <c r="FQ24" s="925">
        <v>12.148631154247422</v>
      </c>
      <c r="FR24" s="926">
        <v>122804073.56377544</v>
      </c>
      <c r="FS24">
        <v>1</v>
      </c>
      <c r="FU24" s="2"/>
      <c r="FV24" s="788">
        <f>FM24/FL24</f>
        <v>107.23801744075026</v>
      </c>
    </row>
    <row r="25" spans="1:178" ht="16" customHeight="1">
      <c r="A25">
        <v>2019</v>
      </c>
      <c r="B25">
        <v>3740</v>
      </c>
      <c r="C25" t="s">
        <v>244</v>
      </c>
      <c r="D25" t="s">
        <v>245</v>
      </c>
      <c r="E25" s="203">
        <v>94</v>
      </c>
      <c r="F25" s="203" t="s">
        <v>250</v>
      </c>
      <c r="G25" s="203" t="s">
        <v>247</v>
      </c>
      <c r="H25" s="204" t="s">
        <v>249</v>
      </c>
      <c r="I25" s="202">
        <v>0</v>
      </c>
      <c r="J25" s="202">
        <v>0</v>
      </c>
      <c r="K25" s="202">
        <v>0</v>
      </c>
      <c r="L25" s="253"/>
      <c r="P25" s="336"/>
      <c r="Q25" s="336"/>
      <c r="R25" s="336"/>
      <c r="S25" s="336"/>
      <c r="T25" s="339"/>
      <c r="U25" s="339"/>
      <c r="V25" s="339"/>
      <c r="W25" s="339"/>
      <c r="X25" s="339">
        <f>SUM(X6:X24)</f>
        <v>3591656000</v>
      </c>
      <c r="AD25" s="289"/>
      <c r="AG25" s="296"/>
      <c r="AH25" s="296"/>
      <c r="AX25" s="254">
        <v>2019</v>
      </c>
      <c r="AY25" s="254">
        <v>3740</v>
      </c>
      <c r="AZ25" s="255" t="s">
        <v>244</v>
      </c>
      <c r="BA25" s="254">
        <v>410</v>
      </c>
      <c r="BB25" s="254">
        <v>302</v>
      </c>
      <c r="BC25" s="255" t="s">
        <v>555</v>
      </c>
      <c r="BD25" s="255" t="s">
        <v>556</v>
      </c>
      <c r="BE25" s="408">
        <f>SUMIFS(BE$32:BE$193,$BB$32:$BB$193,$BB25)</f>
        <v>431000</v>
      </c>
      <c r="BF25" s="408">
        <f t="shared" ref="BF25:BI26" si="59">SUMIFS(BF$32:BF$193,$BB$32:$BB$193,$BB25)</f>
        <v>19320000</v>
      </c>
      <c r="BG25" s="408">
        <f t="shared" si="59"/>
        <v>114557000</v>
      </c>
      <c r="BH25" s="408">
        <f t="shared" si="59"/>
        <v>296000</v>
      </c>
      <c r="BI25" s="408">
        <f t="shared" si="59"/>
        <v>134604000</v>
      </c>
      <c r="CP25" s="487"/>
      <c r="CQ25" s="16"/>
      <c r="CR25" s="565" t="s">
        <v>675</v>
      </c>
      <c r="CS25" s="566">
        <f>CS13/CS20</f>
        <v>68.521910232126146</v>
      </c>
      <c r="CT25" s="510" t="s">
        <v>692</v>
      </c>
      <c r="CU25" s="518" t="s">
        <v>283</v>
      </c>
      <c r="CV25" s="519">
        <f>CV16+CV17</f>
        <v>174381000</v>
      </c>
      <c r="CW25" s="519">
        <f t="shared" ref="CW25:CX25" si="60">CW16+CW17</f>
        <v>145372000</v>
      </c>
      <c r="CX25" s="520">
        <f t="shared" si="60"/>
        <v>319753000</v>
      </c>
      <c r="CY25" s="521"/>
      <c r="CZ25" s="521"/>
      <c r="DA25" s="521"/>
      <c r="DB25" s="521"/>
      <c r="DC25" s="557">
        <f t="shared" si="58"/>
        <v>1.833645867382341</v>
      </c>
      <c r="DZ25" s="597" t="s">
        <v>1688</v>
      </c>
      <c r="EA25" s="663">
        <v>0.1</v>
      </c>
      <c r="EB25" s="662"/>
      <c r="EE25" s="476"/>
      <c r="EF25" s="476"/>
      <c r="EG25" s="476"/>
      <c r="EI25" s="685"/>
      <c r="EJ25" s="608"/>
      <c r="EK25" s="608"/>
      <c r="EL25" s="777" t="s">
        <v>1712</v>
      </c>
      <c r="EM25" s="781">
        <v>106.29</v>
      </c>
      <c r="EN25" s="786">
        <f t="shared" si="56"/>
        <v>1.3769165753424659E-2</v>
      </c>
      <c r="EU25" s="710" t="s">
        <v>693</v>
      </c>
      <c r="EV25" s="712">
        <f>EW25/EO125</f>
        <v>59.012647085569768</v>
      </c>
      <c r="EW25" s="711">
        <f>EQ18</f>
        <v>5537.3533848626294</v>
      </c>
      <c r="EX25" s="712">
        <f>EV25*EV125</f>
        <v>1256.5853974760489</v>
      </c>
      <c r="EY25" s="712">
        <f>EV25*EJ125</f>
        <v>40.806110281601605</v>
      </c>
      <c r="EZ25" s="713">
        <f>FU396*EY25</f>
        <v>840.10997084322685</v>
      </c>
      <c r="FH25">
        <v>14</v>
      </c>
      <c r="FI25" t="s">
        <v>1075</v>
      </c>
      <c r="FJ25" t="s">
        <v>1076</v>
      </c>
      <c r="FK25" t="s">
        <v>688</v>
      </c>
      <c r="FL25" s="286">
        <v>5819</v>
      </c>
      <c r="FM25" s="286">
        <v>605092</v>
      </c>
      <c r="FN25" s="286">
        <v>6618554</v>
      </c>
      <c r="FO25" s="286">
        <v>2246640</v>
      </c>
      <c r="FP25">
        <v>12</v>
      </c>
      <c r="FQ25" s="925">
        <v>12.148631154247422</v>
      </c>
      <c r="FR25" s="926">
        <v>7351039.5223858813</v>
      </c>
      <c r="FS25">
        <v>1</v>
      </c>
      <c r="FU25" s="2"/>
      <c r="FV25" s="788">
        <f>FM25/FL25</f>
        <v>103.98556452998797</v>
      </c>
    </row>
    <row r="26" spans="1:178" ht="16" customHeight="1">
      <c r="A26">
        <v>2019</v>
      </c>
      <c r="B26">
        <v>3740</v>
      </c>
      <c r="C26" t="s">
        <v>244</v>
      </c>
      <c r="D26" t="s">
        <v>245</v>
      </c>
      <c r="E26" s="203">
        <v>97</v>
      </c>
      <c r="F26" s="203" t="s">
        <v>251</v>
      </c>
      <c r="G26" s="203" t="s">
        <v>247</v>
      </c>
      <c r="H26" s="203" t="s">
        <v>248</v>
      </c>
      <c r="I26" s="202">
        <v>0</v>
      </c>
      <c r="J26" s="202">
        <v>0</v>
      </c>
      <c r="K26" s="202">
        <v>0</v>
      </c>
      <c r="L26" s="253"/>
      <c r="T26" s="261"/>
      <c r="U26" s="261"/>
      <c r="V26" s="261"/>
      <c r="W26" s="261"/>
      <c r="X26" s="261"/>
      <c r="AD26" s="289"/>
      <c r="AG26" s="296"/>
      <c r="AH26" s="296"/>
      <c r="AX26" s="254">
        <v>2019</v>
      </c>
      <c r="AY26" s="254">
        <v>3740</v>
      </c>
      <c r="AZ26" s="255" t="s">
        <v>244</v>
      </c>
      <c r="BA26" s="254">
        <v>410</v>
      </c>
      <c r="BB26" s="254">
        <v>323</v>
      </c>
      <c r="BC26" s="255" t="s">
        <v>555</v>
      </c>
      <c r="BD26" s="255" t="s">
        <v>562</v>
      </c>
      <c r="BE26" s="408">
        <f>SUMIFS(BE$32:BE$193,$BB$32:$BB$193,$BB26)</f>
        <v>35558000</v>
      </c>
      <c r="BF26" s="408">
        <f t="shared" si="59"/>
        <v>47463000</v>
      </c>
      <c r="BG26" s="408">
        <f t="shared" si="59"/>
        <v>501242000</v>
      </c>
      <c r="BH26" s="408">
        <f t="shared" si="59"/>
        <v>596655000</v>
      </c>
      <c r="BI26" s="408">
        <f t="shared" si="59"/>
        <v>1180918000</v>
      </c>
      <c r="CP26" s="479"/>
      <c r="CQ26" s="482"/>
      <c r="CR26" s="550" t="s">
        <v>676</v>
      </c>
      <c r="CS26" s="561">
        <f>(CS3)/(CS3+CS4)</f>
        <v>0.92216556847198417</v>
      </c>
      <c r="CT26" s="532" t="s">
        <v>695</v>
      </c>
      <c r="CU26" s="533" t="s">
        <v>283</v>
      </c>
      <c r="CV26" s="534">
        <f>CV19+CV20</f>
        <v>2866070000</v>
      </c>
      <c r="CW26" s="534">
        <f t="shared" ref="CW26:CX26" si="61">CW19+CW20</f>
        <v>2960015000</v>
      </c>
      <c r="CX26" s="535">
        <f t="shared" si="61"/>
        <v>5826085000</v>
      </c>
      <c r="CY26" s="536"/>
      <c r="CZ26" s="536"/>
      <c r="DA26" s="536"/>
      <c r="DB26" s="536"/>
      <c r="DC26" s="558">
        <f t="shared" si="58"/>
        <v>2.03277833409512</v>
      </c>
      <c r="EE26" s="476"/>
      <c r="EF26" s="476"/>
      <c r="EG26" s="476"/>
      <c r="EI26" s="685"/>
      <c r="EJ26" s="608"/>
      <c r="EK26" s="608"/>
      <c r="EL26" s="777" t="s">
        <v>1713</v>
      </c>
      <c r="EM26" s="782">
        <v>348.04</v>
      </c>
      <c r="EN26" s="786">
        <f t="shared" si="56"/>
        <v>4.5086277625570784E-2</v>
      </c>
      <c r="FA26" s="544" t="s">
        <v>434</v>
      </c>
      <c r="FB26" s="709">
        <f>FC31/EO55</f>
        <v>119.30819065666581</v>
      </c>
      <c r="FC26" s="4"/>
      <c r="FD26" s="4"/>
      <c r="FE26" s="4"/>
      <c r="FF26" s="659" t="s">
        <v>1691</v>
      </c>
      <c r="FL26" s="286">
        <f>FL24+FL25</f>
        <v>100081</v>
      </c>
      <c r="FM26" s="286">
        <f>FM24+FM25</f>
        <v>10713562</v>
      </c>
      <c r="FQ26" s="643">
        <f>FR26/FM26</f>
        <v>12.148631154247422</v>
      </c>
      <c r="FR26" s="926">
        <f>FR24+FR25</f>
        <v>130155113.08616132</v>
      </c>
      <c r="FT26" s="927">
        <f>-1*(PMT($EA$23,$EA$24,FQ26,$EA$25*FQ26)/(365*24))</f>
        <v>1.5737747298904081E-3</v>
      </c>
      <c r="FU26" s="790">
        <f>FT26*FV26</f>
        <v>0.16847087002242325</v>
      </c>
      <c r="FV26" s="788">
        <f>FM26/FL26</f>
        <v>107.04891038259011</v>
      </c>
    </row>
    <row r="27" spans="1:178" ht="16" customHeight="1">
      <c r="A27">
        <v>2019</v>
      </c>
      <c r="B27">
        <v>3740</v>
      </c>
      <c r="C27" t="s">
        <v>244</v>
      </c>
      <c r="D27" t="s">
        <v>245</v>
      </c>
      <c r="E27" s="203">
        <v>98</v>
      </c>
      <c r="F27" s="203" t="s">
        <v>251</v>
      </c>
      <c r="G27" s="203" t="s">
        <v>247</v>
      </c>
      <c r="H27" s="204" t="s">
        <v>249</v>
      </c>
      <c r="I27" s="202">
        <v>0</v>
      </c>
      <c r="J27" s="202">
        <v>0</v>
      </c>
      <c r="K27" s="202">
        <v>0</v>
      </c>
      <c r="L27" s="253"/>
      <c r="T27" s="261"/>
      <c r="U27" s="261"/>
      <c r="V27" s="261"/>
      <c r="W27" s="261"/>
      <c r="X27" s="261"/>
      <c r="AD27" s="289"/>
      <c r="AX27" s="404">
        <v>2019</v>
      </c>
      <c r="AY27" s="404">
        <v>3740</v>
      </c>
      <c r="AZ27" s="405" t="s">
        <v>244</v>
      </c>
      <c r="BA27" s="404">
        <v>410</v>
      </c>
      <c r="BB27" s="404">
        <v>320</v>
      </c>
      <c r="BC27" s="405" t="s">
        <v>555</v>
      </c>
      <c r="BD27" s="405" t="s">
        <v>565</v>
      </c>
      <c r="BE27" s="407">
        <f>BE25/BE26</f>
        <v>1.2121041678384611E-2</v>
      </c>
      <c r="BF27" s="407">
        <f t="shared" ref="BF27:BI27" si="62">BF25/BF26</f>
        <v>0.40705391568168892</v>
      </c>
      <c r="BG27" s="407">
        <f t="shared" si="62"/>
        <v>0.2285462910131234</v>
      </c>
      <c r="BH27" s="407">
        <f t="shared" si="62"/>
        <v>4.9609908573631329E-4</v>
      </c>
      <c r="BI27" s="407">
        <f t="shared" si="62"/>
        <v>0.11398251191022578</v>
      </c>
      <c r="CR27" s="471"/>
      <c r="CV27" t="s">
        <v>1617</v>
      </c>
      <c r="CW27" s="29">
        <f>CV22-CV18</f>
        <v>14617115000</v>
      </c>
      <c r="CX27" s="29">
        <f>CW22-CW18</f>
        <v>13476538000</v>
      </c>
      <c r="CY27" s="29">
        <f>CW27+CX27</f>
        <v>28093653000</v>
      </c>
      <c r="EE27" s="476"/>
      <c r="EF27" s="476"/>
      <c r="EG27" s="476"/>
      <c r="EI27" s="487"/>
      <c r="EJ27" s="16"/>
      <c r="EK27" s="16"/>
      <c r="EL27" s="778" t="s">
        <v>1714</v>
      </c>
      <c r="EM27" s="781">
        <v>15.29</v>
      </c>
      <c r="EN27" s="786">
        <f t="shared" si="56"/>
        <v>1.9807182648401826E-3</v>
      </c>
      <c r="EP27" s="16"/>
      <c r="EQ27" s="607"/>
      <c r="ER27" s="16"/>
      <c r="ES27" s="16"/>
      <c r="ET27" s="16"/>
      <c r="EU27" s="16"/>
      <c r="FA27" s="714" t="s">
        <v>800</v>
      </c>
      <c r="FB27" s="794" t="s">
        <v>1599</v>
      </c>
      <c r="FC27" s="794" t="s">
        <v>1600</v>
      </c>
      <c r="FD27" s="794" t="s">
        <v>1601</v>
      </c>
      <c r="FE27" s="794" t="s">
        <v>1689</v>
      </c>
      <c r="FF27" s="795" t="s">
        <v>1690</v>
      </c>
      <c r="FI27" s="2" t="s">
        <v>1208</v>
      </c>
      <c r="FU27" s="2"/>
    </row>
    <row r="28" spans="1:178" ht="16" customHeight="1">
      <c r="A28">
        <v>2019</v>
      </c>
      <c r="B28">
        <v>3680</v>
      </c>
      <c r="C28" t="s">
        <v>252</v>
      </c>
      <c r="D28" t="s">
        <v>245</v>
      </c>
      <c r="E28" s="203">
        <v>91</v>
      </c>
      <c r="F28" s="203" t="s">
        <v>246</v>
      </c>
      <c r="G28" s="203" t="s">
        <v>247</v>
      </c>
      <c r="H28" s="203" t="s">
        <v>248</v>
      </c>
      <c r="I28" s="202">
        <v>0</v>
      </c>
      <c r="J28" s="202">
        <v>0</v>
      </c>
      <c r="K28" s="202">
        <v>0</v>
      </c>
      <c r="L28" s="253"/>
      <c r="T28" s="261"/>
      <c r="U28" s="261"/>
      <c r="V28" s="261"/>
      <c r="W28" s="261"/>
      <c r="X28" s="261"/>
      <c r="AD28" s="289"/>
      <c r="AX28" s="402"/>
      <c r="AY28" s="402"/>
      <c r="AZ28" s="403"/>
      <c r="BA28" s="402"/>
      <c r="BB28" s="402"/>
      <c r="BC28" s="403"/>
      <c r="BD28" s="403"/>
      <c r="CV28" t="s">
        <v>1618</v>
      </c>
      <c r="CW28" s="286">
        <f>CY28/DC11</f>
        <v>6178087341.9816198</v>
      </c>
      <c r="CX28" s="286">
        <f>CY28-CW28</f>
        <v>6277145658.0183802</v>
      </c>
      <c r="CY28" s="286">
        <f>CS11</f>
        <v>12455233000</v>
      </c>
      <c r="EC28" s="252" t="s">
        <v>1602</v>
      </c>
      <c r="EE28" s="476"/>
      <c r="EF28" s="476"/>
      <c r="EG28" s="476"/>
      <c r="EI28" s="487"/>
      <c r="EJ28" s="16"/>
      <c r="EK28" s="16"/>
      <c r="EL28" s="778" t="s">
        <v>724</v>
      </c>
      <c r="EM28" s="781">
        <v>216.04</v>
      </c>
      <c r="EN28" s="786">
        <f t="shared" si="56"/>
        <v>2.7986551598173516E-2</v>
      </c>
      <c r="EP28" s="16"/>
      <c r="EQ28" s="607"/>
      <c r="ER28" s="608"/>
      <c r="ES28" s="608"/>
      <c r="ET28" s="608"/>
      <c r="EU28" s="609"/>
      <c r="FA28" s="671" t="s">
        <v>691</v>
      </c>
      <c r="FB28" s="608">
        <f>$FB$26*EL52</f>
        <v>15.501844707410818</v>
      </c>
      <c r="FC28" s="699">
        <f>FB28*EO52</f>
        <v>790.59408007795173</v>
      </c>
      <c r="FD28" s="608">
        <f>FB28*FV30</f>
        <v>1723.8532421940067</v>
      </c>
      <c r="FE28" s="608">
        <f>FB28</f>
        <v>15.501844707410818</v>
      </c>
      <c r="FF28" s="796">
        <f>FD28*$EN$23</f>
        <v>9.6627869960491903</v>
      </c>
      <c r="FH28" t="s">
        <v>797</v>
      </c>
      <c r="FI28" t="s">
        <v>804</v>
      </c>
      <c r="FJ28" t="s">
        <v>805</v>
      </c>
      <c r="FK28" t="s">
        <v>800</v>
      </c>
      <c r="FL28" t="s">
        <v>678</v>
      </c>
      <c r="FM28" t="s">
        <v>794</v>
      </c>
      <c r="FN28" t="s">
        <v>353</v>
      </c>
      <c r="FO28" t="s">
        <v>803</v>
      </c>
      <c r="FP28" t="s">
        <v>1627</v>
      </c>
      <c r="FQ28" t="s">
        <v>1628</v>
      </c>
      <c r="FR28" t="s">
        <v>1680</v>
      </c>
      <c r="FS28" t="s">
        <v>1815</v>
      </c>
      <c r="FU28" s="2"/>
    </row>
    <row r="29" spans="1:178" ht="16" customHeight="1">
      <c r="A29">
        <v>2019</v>
      </c>
      <c r="B29">
        <v>3680</v>
      </c>
      <c r="C29" t="s">
        <v>252</v>
      </c>
      <c r="D29" t="s">
        <v>245</v>
      </c>
      <c r="E29" s="203">
        <v>92</v>
      </c>
      <c r="F29" s="203" t="s">
        <v>246</v>
      </c>
      <c r="G29" s="203" t="s">
        <v>247</v>
      </c>
      <c r="H29" s="204" t="s">
        <v>249</v>
      </c>
      <c r="I29" s="202">
        <v>0</v>
      </c>
      <c r="J29" s="202">
        <v>0</v>
      </c>
      <c r="K29" s="202">
        <v>0</v>
      </c>
      <c r="L29" s="253"/>
      <c r="M29" s="252" t="s">
        <v>554</v>
      </c>
      <c r="T29" s="261"/>
      <c r="U29" s="261"/>
      <c r="V29" s="261"/>
      <c r="W29" s="261"/>
      <c r="X29" s="261"/>
      <c r="AD29" s="289"/>
      <c r="BY29" s="2" t="s">
        <v>710</v>
      </c>
      <c r="CV29" t="s">
        <v>1619</v>
      </c>
      <c r="CW29" s="594">
        <f>(CW27-CW28)*CY29/(CY29+CY30)</f>
        <v>682959537.27455127</v>
      </c>
      <c r="CX29" s="286">
        <f>CY29-CW29</f>
        <v>582637462.72544873</v>
      </c>
      <c r="CY29" s="286">
        <f>CS12</f>
        <v>1265597000</v>
      </c>
      <c r="EE29" s="476"/>
      <c r="EF29" s="476"/>
      <c r="EG29" s="476"/>
      <c r="EI29" s="487"/>
      <c r="EJ29" s="16"/>
      <c r="EK29" s="16"/>
      <c r="EL29" s="778" t="s">
        <v>1715</v>
      </c>
      <c r="EM29" s="781">
        <v>519.16999999999996</v>
      </c>
      <c r="EN29" s="786">
        <f t="shared" si="56"/>
        <v>6.7255036073059368E-2</v>
      </c>
      <c r="EP29" s="16"/>
      <c r="EQ29" s="610"/>
      <c r="ER29" s="16"/>
      <c r="ES29" s="16"/>
      <c r="ET29" s="16"/>
      <c r="EU29" s="16"/>
      <c r="FA29" s="671" t="s">
        <v>697</v>
      </c>
      <c r="FB29" s="608">
        <f t="shared" ref="FB29:FB30" si="63">$FB$26*EL53</f>
        <v>59.117038867929509</v>
      </c>
      <c r="FC29" s="699">
        <f t="shared" ref="FC29:FC30" si="64">FB29*EO53</f>
        <v>3138.1294799059251</v>
      </c>
      <c r="FD29" s="608">
        <f>FB29*FV35</f>
        <v>7007.2736785774796</v>
      </c>
      <c r="FE29" s="608">
        <f t="shared" ref="FE29:FE30" si="65">FB29</f>
        <v>59.117038867929509</v>
      </c>
      <c r="FF29" s="796">
        <f t="shared" ref="FF29:FF31" si="66">FD29*$EN$23</f>
        <v>39.27816552001822</v>
      </c>
      <c r="FH29">
        <v>14</v>
      </c>
      <c r="FI29" t="s">
        <v>1016</v>
      </c>
      <c r="FJ29" t="s">
        <v>1017</v>
      </c>
      <c r="FK29" t="s">
        <v>691</v>
      </c>
      <c r="FL29" s="286">
        <v>344861</v>
      </c>
      <c r="FM29" s="286">
        <v>34732249</v>
      </c>
      <c r="FN29" s="286">
        <v>356332491.99999994</v>
      </c>
      <c r="FO29" s="286">
        <v>181041205.00000003</v>
      </c>
      <c r="FP29">
        <v>12</v>
      </c>
      <c r="FQ29" s="925">
        <v>12.148631154247422</v>
      </c>
      <c r="FR29" s="926">
        <v>421949282.25847888</v>
      </c>
      <c r="FS29">
        <v>1</v>
      </c>
      <c r="FU29" s="2"/>
      <c r="FV29" s="788">
        <f>FM29/FL29</f>
        <v>100.71376293637147</v>
      </c>
    </row>
    <row r="30" spans="1:178" ht="16" customHeight="1">
      <c r="A30">
        <v>2019</v>
      </c>
      <c r="B30">
        <v>3680</v>
      </c>
      <c r="C30" t="s">
        <v>252</v>
      </c>
      <c r="D30" t="s">
        <v>245</v>
      </c>
      <c r="E30" s="203">
        <v>93</v>
      </c>
      <c r="F30" s="203" t="s">
        <v>250</v>
      </c>
      <c r="G30" s="203" t="s">
        <v>247</v>
      </c>
      <c r="H30" s="203" t="s">
        <v>248</v>
      </c>
      <c r="I30" s="202">
        <v>0</v>
      </c>
      <c r="J30" s="202">
        <v>0</v>
      </c>
      <c r="K30" s="202">
        <v>0</v>
      </c>
      <c r="L30" s="253"/>
      <c r="M30" s="257" t="s">
        <v>2</v>
      </c>
      <c r="N30" s="257" t="s">
        <v>266</v>
      </c>
      <c r="O30" s="257" t="s">
        <v>267</v>
      </c>
      <c r="P30" s="258" t="s">
        <v>98</v>
      </c>
      <c r="Q30" s="259" t="s">
        <v>99</v>
      </c>
      <c r="R30" s="260" t="s">
        <v>268</v>
      </c>
      <c r="S30" s="260" t="s">
        <v>269</v>
      </c>
      <c r="T30" s="262" t="s">
        <v>270</v>
      </c>
      <c r="U30" s="263" t="s">
        <v>271</v>
      </c>
      <c r="V30" s="263" t="s">
        <v>272</v>
      </c>
      <c r="W30" s="263" t="s">
        <v>273</v>
      </c>
      <c r="X30" s="264" t="s">
        <v>274</v>
      </c>
      <c r="Z30" s="440" t="s">
        <v>585</v>
      </c>
      <c r="AD30" s="289"/>
      <c r="AX30" s="252" t="s">
        <v>554</v>
      </c>
      <c r="BE30" s="261"/>
      <c r="BF30" s="261"/>
      <c r="BG30" s="261"/>
      <c r="BH30" s="261"/>
      <c r="BI30" s="261"/>
      <c r="BK30" s="252" t="s">
        <v>586</v>
      </c>
      <c r="BL30" s="319"/>
      <c r="BY30" s="1061" t="s">
        <v>645</v>
      </c>
      <c r="BZ30" s="1061"/>
      <c r="CA30" s="1061"/>
      <c r="CB30" s="1061"/>
      <c r="CC30" s="406"/>
      <c r="CD30" s="406"/>
      <c r="CV30" t="s">
        <v>1620</v>
      </c>
      <c r="CW30" s="286">
        <f>CW27-CW28-CW29</f>
        <v>7756068120.7438288</v>
      </c>
      <c r="CX30" s="286">
        <f>CX27-CX28-CX29</f>
        <v>6616754879.2561712</v>
      </c>
      <c r="CY30" s="286">
        <f>CY27-CY28-CY29</f>
        <v>14372823000</v>
      </c>
      <c r="EE30" s="476"/>
      <c r="EF30" s="476"/>
      <c r="EG30" s="476"/>
      <c r="EI30" s="487"/>
      <c r="EJ30" s="16"/>
      <c r="EK30" s="16"/>
      <c r="EL30" s="778" t="s">
        <v>1716</v>
      </c>
      <c r="EM30" s="781">
        <v>372.52</v>
      </c>
      <c r="EN30" s="786">
        <f t="shared" si="56"/>
        <v>4.8257499543378997E-2</v>
      </c>
      <c r="EP30" s="16"/>
      <c r="EQ30" s="610"/>
      <c r="ER30" s="608"/>
      <c r="ES30" s="608"/>
      <c r="ET30" s="608"/>
      <c r="EU30" s="609"/>
      <c r="FA30" s="548" t="s">
        <v>698</v>
      </c>
      <c r="FB30" s="606">
        <f t="shared" si="63"/>
        <v>44.689307081325495</v>
      </c>
      <c r="FC30" s="704">
        <f t="shared" si="64"/>
        <v>2372.2573842336951</v>
      </c>
      <c r="FD30" s="606">
        <f>FB30*FV41</f>
        <v>5202.5744429754923</v>
      </c>
      <c r="FE30" s="606">
        <f t="shared" si="65"/>
        <v>44.689307081325495</v>
      </c>
      <c r="FF30" s="676">
        <f t="shared" si="66"/>
        <v>29.16220908084923</v>
      </c>
      <c r="FH30">
        <v>11</v>
      </c>
      <c r="FI30" t="s">
        <v>1077</v>
      </c>
      <c r="FJ30" t="s">
        <v>1078</v>
      </c>
      <c r="FK30" t="s">
        <v>691</v>
      </c>
      <c r="FL30" s="286">
        <v>336518</v>
      </c>
      <c r="FM30" s="286">
        <v>37421846.000000007</v>
      </c>
      <c r="FN30" s="286">
        <v>699320987</v>
      </c>
      <c r="FO30" s="286">
        <v>368297851</v>
      </c>
      <c r="FP30">
        <v>15</v>
      </c>
      <c r="FQ30" s="925">
        <v>43.273741284778055</v>
      </c>
      <c r="FR30" s="926">
        <v>1619383282.2028067</v>
      </c>
      <c r="FS30">
        <v>1</v>
      </c>
      <c r="FU30" s="2"/>
      <c r="FV30" s="788">
        <f>FM30/FL30</f>
        <v>111.20310354869578</v>
      </c>
    </row>
    <row r="31" spans="1:178" ht="16" customHeight="1">
      <c r="A31">
        <v>2019</v>
      </c>
      <c r="B31">
        <v>3680</v>
      </c>
      <c r="C31" t="s">
        <v>252</v>
      </c>
      <c r="D31" t="s">
        <v>245</v>
      </c>
      <c r="E31" s="203">
        <v>94</v>
      </c>
      <c r="F31" s="203" t="s">
        <v>250</v>
      </c>
      <c r="G31" s="203" t="s">
        <v>247</v>
      </c>
      <c r="H31" s="203" t="s">
        <v>249</v>
      </c>
      <c r="I31" s="202">
        <v>0</v>
      </c>
      <c r="J31" s="202">
        <v>0</v>
      </c>
      <c r="K31" s="202">
        <v>0</v>
      </c>
      <c r="L31" s="253"/>
      <c r="M31" s="254">
        <v>2019</v>
      </c>
      <c r="N31" s="254">
        <v>3740</v>
      </c>
      <c r="O31" s="255" t="s">
        <v>244</v>
      </c>
      <c r="P31" s="254">
        <v>410</v>
      </c>
      <c r="Q31" s="254">
        <v>29</v>
      </c>
      <c r="R31" s="256" t="s">
        <v>263</v>
      </c>
      <c r="S31" s="256" t="s">
        <v>481</v>
      </c>
      <c r="T31" s="350">
        <v>18000</v>
      </c>
      <c r="U31" s="350">
        <v>0</v>
      </c>
      <c r="V31" s="350">
        <v>455000</v>
      </c>
      <c r="W31" s="350">
        <v>0</v>
      </c>
      <c r="X31" s="350">
        <v>473000</v>
      </c>
      <c r="AA31" s="277"/>
      <c r="AB31" s="278"/>
      <c r="AC31" s="278"/>
      <c r="AD31" s="290"/>
      <c r="AE31" s="279"/>
      <c r="AF31" s="280"/>
      <c r="AG31" s="287"/>
      <c r="AH31" s="287"/>
      <c r="AI31" s="1052"/>
      <c r="AJ31" s="1052"/>
      <c r="AK31" s="1052"/>
      <c r="AL31" s="1052"/>
      <c r="AX31" s="257" t="s">
        <v>2</v>
      </c>
      <c r="AY31" s="257" t="s">
        <v>266</v>
      </c>
      <c r="AZ31" s="257" t="s">
        <v>267</v>
      </c>
      <c r="BA31" s="258" t="s">
        <v>98</v>
      </c>
      <c r="BB31" s="259" t="s">
        <v>99</v>
      </c>
      <c r="BC31" s="260" t="s">
        <v>268</v>
      </c>
      <c r="BD31" s="260" t="s">
        <v>269</v>
      </c>
      <c r="BE31" s="262" t="s">
        <v>270</v>
      </c>
      <c r="BF31" s="263" t="s">
        <v>271</v>
      </c>
      <c r="BG31" s="263" t="s">
        <v>272</v>
      </c>
      <c r="BH31" s="263" t="s">
        <v>273</v>
      </c>
      <c r="BI31" s="264" t="s">
        <v>274</v>
      </c>
      <c r="BK31" s="277"/>
      <c r="BL31" s="278"/>
      <c r="BM31" s="278"/>
      <c r="BN31" s="290"/>
      <c r="BO31" s="279"/>
      <c r="BP31" s="280"/>
      <c r="BQ31" s="287"/>
      <c r="BR31" s="287"/>
      <c r="BS31" s="1052"/>
      <c r="BT31" s="1052"/>
      <c r="BU31" s="1052"/>
      <c r="BV31" s="1052"/>
      <c r="BZ31" s="448" t="s">
        <v>641</v>
      </c>
      <c r="CA31" s="450"/>
      <c r="CB31" s="210" t="s">
        <v>650</v>
      </c>
      <c r="CC31" s="210" t="s">
        <v>652</v>
      </c>
      <c r="CD31" s="449" t="s">
        <v>283</v>
      </c>
      <c r="CE31" s="451" t="s">
        <v>15</v>
      </c>
      <c r="CV31" t="s">
        <v>1621</v>
      </c>
      <c r="CW31" s="29">
        <f>CV15</f>
        <v>4448926000</v>
      </c>
      <c r="CX31" s="29">
        <f>CW15</f>
        <v>375507000</v>
      </c>
      <c r="CY31" s="29">
        <f>CW31+CX31</f>
        <v>4824433000</v>
      </c>
      <c r="DC31" s="2" t="s">
        <v>1208</v>
      </c>
      <c r="EC31" s="2" t="s">
        <v>1593</v>
      </c>
      <c r="EE31" s="476"/>
      <c r="EF31" s="476"/>
      <c r="EG31" s="476"/>
      <c r="EI31" s="479"/>
      <c r="EJ31" s="482"/>
      <c r="EK31" s="482"/>
      <c r="EL31" s="779" t="s">
        <v>1088</v>
      </c>
      <c r="EM31" s="783">
        <v>319.51</v>
      </c>
      <c r="EN31" s="787">
        <f t="shared" si="56"/>
        <v>4.1390405022831055E-2</v>
      </c>
      <c r="FA31" s="687" t="s">
        <v>1598</v>
      </c>
      <c r="FB31" s="606">
        <f>SUM(FB28:FB30)</f>
        <v>119.30819065666583</v>
      </c>
      <c r="FC31" s="606">
        <f>EL20</f>
        <v>6300.980944217572</v>
      </c>
      <c r="FD31" s="606">
        <f t="shared" ref="FD31:FE31" si="67">SUM(FD28:FD30)</f>
        <v>13933.701363746979</v>
      </c>
      <c r="FE31" s="606">
        <f t="shared" si="67"/>
        <v>119.30819065666583</v>
      </c>
      <c r="FF31" s="676">
        <f t="shared" si="66"/>
        <v>78.103161596916635</v>
      </c>
      <c r="FL31" s="286">
        <f>FL29+FL30</f>
        <v>681379</v>
      </c>
      <c r="FM31" s="286">
        <f>FM29+FM30</f>
        <v>72154095</v>
      </c>
      <c r="FQ31" s="643">
        <f>FR31/FM31</f>
        <v>28.291291914357537</v>
      </c>
      <c r="FR31" s="926">
        <f>FR29+FR30</f>
        <v>2041332564.4612856</v>
      </c>
      <c r="FT31" s="927">
        <f>-1*(PMT($EA$23,$EA$24,FQ31,$EA$25*FQ31)/(365*24))</f>
        <v>3.66494955073207E-3</v>
      </c>
      <c r="FU31" s="790">
        <f>FT31*FV31</f>
        <v>0.38809695933354138</v>
      </c>
      <c r="FV31" s="788">
        <f>FM31/FL31</f>
        <v>105.89421599432914</v>
      </c>
    </row>
    <row r="32" spans="1:178" ht="16" customHeight="1">
      <c r="A32">
        <v>2019</v>
      </c>
      <c r="B32">
        <v>3680</v>
      </c>
      <c r="C32" t="s">
        <v>252</v>
      </c>
      <c r="D32" t="s">
        <v>245</v>
      </c>
      <c r="E32" s="203">
        <v>97</v>
      </c>
      <c r="F32" s="203" t="s">
        <v>251</v>
      </c>
      <c r="G32" s="203" t="s">
        <v>247</v>
      </c>
      <c r="H32" s="203" t="s">
        <v>248</v>
      </c>
      <c r="I32" s="202">
        <v>0</v>
      </c>
      <c r="J32" s="202">
        <v>0</v>
      </c>
      <c r="K32" s="202">
        <v>0</v>
      </c>
      <c r="L32" s="253"/>
      <c r="M32" s="254">
        <v>2019</v>
      </c>
      <c r="N32" s="254">
        <v>3680</v>
      </c>
      <c r="O32" s="255" t="s">
        <v>252</v>
      </c>
      <c r="P32" s="254">
        <v>410</v>
      </c>
      <c r="Q32" s="254">
        <v>29</v>
      </c>
      <c r="R32" s="256" t="s">
        <v>263</v>
      </c>
      <c r="S32" s="256" t="s">
        <v>481</v>
      </c>
      <c r="T32" s="350">
        <v>0</v>
      </c>
      <c r="U32" s="350">
        <v>0</v>
      </c>
      <c r="V32" s="350">
        <v>112000</v>
      </c>
      <c r="W32" s="350">
        <v>0</v>
      </c>
      <c r="X32" s="350">
        <v>112000</v>
      </c>
      <c r="AA32" s="288" t="s">
        <v>2</v>
      </c>
      <c r="AB32" s="288" t="s">
        <v>266</v>
      </c>
      <c r="AC32" s="288" t="s">
        <v>267</v>
      </c>
      <c r="AD32" s="288" t="s">
        <v>98</v>
      </c>
      <c r="AE32" s="288" t="s">
        <v>99</v>
      </c>
      <c r="AF32" s="351" t="s">
        <v>482</v>
      </c>
      <c r="AG32" s="285" t="s">
        <v>484</v>
      </c>
      <c r="AH32" s="285" t="s">
        <v>483</v>
      </c>
      <c r="AI32" s="285" t="s">
        <v>485</v>
      </c>
      <c r="AJ32" s="285" t="s">
        <v>486</v>
      </c>
      <c r="AK32" s="285" t="s">
        <v>488</v>
      </c>
      <c r="AL32" s="285" t="s">
        <v>487</v>
      </c>
      <c r="AX32" s="254">
        <v>2019</v>
      </c>
      <c r="AY32" s="254">
        <v>3740</v>
      </c>
      <c r="AZ32" s="255" t="s">
        <v>244</v>
      </c>
      <c r="BA32" s="254">
        <v>410</v>
      </c>
      <c r="BB32" s="254">
        <v>301</v>
      </c>
      <c r="BC32" s="255" t="s">
        <v>555</v>
      </c>
      <c r="BD32" s="255" t="s">
        <v>203</v>
      </c>
      <c r="BE32" s="350">
        <v>0</v>
      </c>
      <c r="BF32" s="350">
        <v>0</v>
      </c>
      <c r="BG32" s="350">
        <v>0</v>
      </c>
      <c r="BH32" s="350">
        <v>0</v>
      </c>
      <c r="BI32" s="350">
        <v>0</v>
      </c>
      <c r="BK32" s="361" t="s">
        <v>2</v>
      </c>
      <c r="BL32" s="361" t="s">
        <v>266</v>
      </c>
      <c r="BM32" s="361" t="s">
        <v>267</v>
      </c>
      <c r="BN32" s="361" t="s">
        <v>98</v>
      </c>
      <c r="BO32" s="361" t="s">
        <v>99</v>
      </c>
      <c r="BP32" s="351" t="s">
        <v>601</v>
      </c>
      <c r="BQ32" s="285" t="s">
        <v>602</v>
      </c>
      <c r="BR32" s="285" t="s">
        <v>603</v>
      </c>
      <c r="BS32" s="285" t="s">
        <v>604</v>
      </c>
      <c r="BT32" s="285" t="s">
        <v>605</v>
      </c>
      <c r="BU32" s="285" t="s">
        <v>606</v>
      </c>
      <c r="BV32" s="285" t="s">
        <v>607</v>
      </c>
      <c r="BZ32" s="447" t="s">
        <v>642</v>
      </c>
      <c r="CA32" s="443" t="s">
        <v>640</v>
      </c>
      <c r="CB32" s="443" t="s">
        <v>651</v>
      </c>
      <c r="CC32" s="443" t="s">
        <v>650</v>
      </c>
      <c r="CD32" s="443" t="s">
        <v>643</v>
      </c>
      <c r="CE32" s="452" t="s">
        <v>644</v>
      </c>
      <c r="CM32" s="303" t="s">
        <v>2</v>
      </c>
      <c r="CN32" s="304" t="s">
        <v>266</v>
      </c>
      <c r="CO32" s="304" t="s">
        <v>267</v>
      </c>
      <c r="CP32" s="304" t="s">
        <v>98</v>
      </c>
      <c r="CQ32" s="304" t="s">
        <v>99</v>
      </c>
      <c r="CR32" s="305" t="s">
        <v>448</v>
      </c>
      <c r="CS32" s="305"/>
      <c r="CT32" s="304" t="s">
        <v>448</v>
      </c>
      <c r="CU32" s="306" t="s">
        <v>449</v>
      </c>
      <c r="CV32" t="s">
        <v>1623</v>
      </c>
      <c r="CW32" s="619">
        <f>CW30+CW31</f>
        <v>12204994120.743828</v>
      </c>
      <c r="CX32" s="619">
        <f t="shared" ref="CX32:CY32" si="68">CX30+CX31</f>
        <v>6992261879.2561712</v>
      </c>
      <c r="CY32" s="619">
        <f t="shared" si="68"/>
        <v>19197256000</v>
      </c>
      <c r="DB32" t="s">
        <v>797</v>
      </c>
      <c r="DC32" s="595" t="s">
        <v>804</v>
      </c>
      <c r="DD32" s="595" t="s">
        <v>805</v>
      </c>
      <c r="DE32" s="595" t="s">
        <v>800</v>
      </c>
      <c r="DF32" t="s">
        <v>678</v>
      </c>
      <c r="DG32" t="s">
        <v>794</v>
      </c>
      <c r="DH32" t="s">
        <v>353</v>
      </c>
      <c r="DI32" t="s">
        <v>803</v>
      </c>
      <c r="DJ32" t="s">
        <v>1627</v>
      </c>
      <c r="DK32" t="s">
        <v>1628</v>
      </c>
      <c r="DL32" t="s">
        <v>1680</v>
      </c>
      <c r="EC32" s="602" t="s">
        <v>800</v>
      </c>
      <c r="ED32" s="592" t="s">
        <v>1576</v>
      </c>
      <c r="EE32" s="592" t="s">
        <v>801</v>
      </c>
      <c r="EF32" s="593" t="s">
        <v>1578</v>
      </c>
      <c r="EG32" s="593" t="s">
        <v>802</v>
      </c>
      <c r="EH32" s="593" t="s">
        <v>1579</v>
      </c>
      <c r="EI32" s="593" t="s">
        <v>1577</v>
      </c>
      <c r="EJ32" s="593" t="s">
        <v>1582</v>
      </c>
      <c r="EK32" s="593" t="s">
        <v>1581</v>
      </c>
      <c r="EL32" s="593" t="s">
        <v>1575</v>
      </c>
      <c r="EM32" s="593" t="s">
        <v>1589</v>
      </c>
      <c r="EN32" s="593" t="s">
        <v>1590</v>
      </c>
      <c r="EO32" s="593" t="s">
        <v>1591</v>
      </c>
      <c r="EP32" s="593" t="s">
        <v>1583</v>
      </c>
      <c r="EQ32" s="593" t="s">
        <v>1584</v>
      </c>
      <c r="ER32" s="593" t="s">
        <v>1587</v>
      </c>
      <c r="ES32" s="593" t="s">
        <v>1588</v>
      </c>
      <c r="ET32" s="593" t="s">
        <v>1585</v>
      </c>
      <c r="EU32" s="593" t="s">
        <v>1586</v>
      </c>
      <c r="EV32" s="593" t="s">
        <v>1592</v>
      </c>
      <c r="EW32" s="611"/>
      <c r="FA32" s="544" t="s">
        <v>1711</v>
      </c>
      <c r="FB32" s="715">
        <f>FB34</f>
        <v>103.19595870533374</v>
      </c>
      <c r="FC32" s="4"/>
      <c r="FD32" s="4"/>
      <c r="FE32" s="4"/>
      <c r="FF32" s="659" t="s">
        <v>1691</v>
      </c>
      <c r="FI32" s="2" t="s">
        <v>1208</v>
      </c>
      <c r="FU32" s="2"/>
    </row>
    <row r="33" spans="1:178" ht="16" customHeight="1">
      <c r="A33">
        <v>2019</v>
      </c>
      <c r="B33">
        <v>3680</v>
      </c>
      <c r="C33" t="s">
        <v>252</v>
      </c>
      <c r="D33" t="s">
        <v>245</v>
      </c>
      <c r="E33" s="203">
        <v>98</v>
      </c>
      <c r="F33" s="203" t="s">
        <v>251</v>
      </c>
      <c r="G33" s="203" t="s">
        <v>247</v>
      </c>
      <c r="H33" s="204" t="s">
        <v>249</v>
      </c>
      <c r="I33" s="202">
        <v>0</v>
      </c>
      <c r="J33" s="202">
        <v>0</v>
      </c>
      <c r="K33" s="202">
        <v>0</v>
      </c>
      <c r="L33" s="253"/>
      <c r="M33" s="254">
        <v>2019</v>
      </c>
      <c r="N33" s="254">
        <v>3410</v>
      </c>
      <c r="O33" s="255" t="s">
        <v>253</v>
      </c>
      <c r="P33" s="254">
        <v>410</v>
      </c>
      <c r="Q33" s="254">
        <v>29</v>
      </c>
      <c r="R33" s="256" t="s">
        <v>263</v>
      </c>
      <c r="S33" s="256" t="s">
        <v>481</v>
      </c>
      <c r="T33" s="350">
        <v>0</v>
      </c>
      <c r="U33" s="350">
        <v>0</v>
      </c>
      <c r="V33" s="350">
        <v>0</v>
      </c>
      <c r="W33" s="350">
        <v>0</v>
      </c>
      <c r="X33" s="350">
        <v>0</v>
      </c>
      <c r="AA33" s="272">
        <v>2019</v>
      </c>
      <c r="AB33" s="272">
        <v>1370</v>
      </c>
      <c r="AC33" s="273" t="s">
        <v>255</v>
      </c>
      <c r="AD33" s="272" t="s">
        <v>489</v>
      </c>
      <c r="AE33" s="272">
        <v>36</v>
      </c>
      <c r="AF33" s="274" t="s">
        <v>387</v>
      </c>
      <c r="AG33" s="272">
        <v>0</v>
      </c>
      <c r="AH33" s="272">
        <v>0</v>
      </c>
      <c r="AI33" s="272">
        <v>0</v>
      </c>
      <c r="AJ33" s="272">
        <v>0</v>
      </c>
      <c r="AK33" s="272">
        <v>0</v>
      </c>
      <c r="AL33" s="352">
        <v>0</v>
      </c>
      <c r="AX33" s="254">
        <v>2019</v>
      </c>
      <c r="AY33" s="254">
        <v>3740</v>
      </c>
      <c r="AZ33" s="255" t="s">
        <v>244</v>
      </c>
      <c r="BA33" s="254">
        <v>410</v>
      </c>
      <c r="BB33" s="254">
        <v>302</v>
      </c>
      <c r="BC33" s="255" t="s">
        <v>555</v>
      </c>
      <c r="BD33" s="255" t="s">
        <v>556</v>
      </c>
      <c r="BE33" s="350">
        <v>431000</v>
      </c>
      <c r="BF33" s="350">
        <v>18206000</v>
      </c>
      <c r="BG33" s="350">
        <v>42117000</v>
      </c>
      <c r="BH33" s="350">
        <v>71000</v>
      </c>
      <c r="BI33" s="350">
        <v>60825000</v>
      </c>
      <c r="BK33" s="272">
        <v>2019</v>
      </c>
      <c r="BL33" s="272">
        <v>1370</v>
      </c>
      <c r="BM33" s="273" t="s">
        <v>255</v>
      </c>
      <c r="BN33" s="272" t="s">
        <v>588</v>
      </c>
      <c r="BO33" s="272">
        <v>59</v>
      </c>
      <c r="BP33" s="441" t="s">
        <v>589</v>
      </c>
      <c r="BQ33" s="272">
        <v>0</v>
      </c>
      <c r="BR33" s="272">
        <v>0</v>
      </c>
      <c r="BS33" s="272">
        <v>0</v>
      </c>
      <c r="BT33" s="272">
        <v>0</v>
      </c>
      <c r="BU33" s="272">
        <v>0</v>
      </c>
      <c r="BV33" s="272">
        <v>0</v>
      </c>
      <c r="BY33" t="str">
        <f>LEFT(BZ33,1)</f>
        <v>S</v>
      </c>
      <c r="BZ33" s="362" t="s">
        <v>612</v>
      </c>
      <c r="CA33" s="362">
        <v>1</v>
      </c>
      <c r="CB33" s="362">
        <v>2</v>
      </c>
      <c r="CC33" s="362">
        <f t="shared" ref="CC33:CC64" si="69">CD33*CB33</f>
        <v>11554</v>
      </c>
      <c r="CD33">
        <f t="shared" ref="CD33:CD64" si="70">CE33*CA33</f>
        <v>5777</v>
      </c>
      <c r="CE33" s="444">
        <v>5777</v>
      </c>
      <c r="CM33" s="302"/>
      <c r="CN33" s="302"/>
      <c r="CO33" s="302"/>
      <c r="CP33" s="302"/>
      <c r="CQ33" s="302"/>
      <c r="CR33" s="309" t="s">
        <v>450</v>
      </c>
      <c r="CS33" s="305" t="s">
        <v>451</v>
      </c>
      <c r="CT33" s="305" t="s">
        <v>452</v>
      </c>
      <c r="CU33" s="310" t="s">
        <v>453</v>
      </c>
      <c r="CV33" s="617" t="s">
        <v>1622</v>
      </c>
      <c r="CW33" s="286">
        <f>CW32+CW29+CW28</f>
        <v>19066041000</v>
      </c>
      <c r="CX33" s="286">
        <f t="shared" ref="CX33:CY33" si="71">CX32+CX29+CX28</f>
        <v>13852045000</v>
      </c>
      <c r="CY33" s="286">
        <f t="shared" si="71"/>
        <v>32918086000</v>
      </c>
      <c r="DB33">
        <f t="shared" ref="DB33:DB96" si="72">VALUE(LEFT(DC33,2))</f>
        <v>1</v>
      </c>
      <c r="DC33" s="595" t="s">
        <v>893</v>
      </c>
      <c r="DD33" s="595" t="s">
        <v>894</v>
      </c>
      <c r="DE33" s="595" t="s">
        <v>690</v>
      </c>
      <c r="DF33" s="286">
        <v>16720</v>
      </c>
      <c r="DG33" s="286">
        <v>1615060</v>
      </c>
      <c r="DH33" s="286">
        <v>56989170</v>
      </c>
      <c r="DI33" s="286">
        <v>29101042</v>
      </c>
      <c r="DJ33">
        <v>2</v>
      </c>
      <c r="DK33" s="643">
        <f>VLOOKUP($DJ33,$DC$341:$DG$383,5)</f>
        <v>122.96653784550514</v>
      </c>
      <c r="DL33" s="408">
        <f>DK33*DG33</f>
        <v>198598336.61276153</v>
      </c>
      <c r="EC33" s="289"/>
      <c r="FA33" s="714" t="s">
        <v>800</v>
      </c>
      <c r="FB33" s="794" t="s">
        <v>1599</v>
      </c>
      <c r="FC33" s="794" t="s">
        <v>1600</v>
      </c>
      <c r="FD33" s="794" t="s">
        <v>1601</v>
      </c>
      <c r="FE33" s="794" t="s">
        <v>1689</v>
      </c>
      <c r="FF33" s="795" t="s">
        <v>1690</v>
      </c>
      <c r="FH33" t="s">
        <v>797</v>
      </c>
      <c r="FI33" t="s">
        <v>804</v>
      </c>
      <c r="FJ33" t="s">
        <v>805</v>
      </c>
      <c r="FK33" t="s">
        <v>800</v>
      </c>
      <c r="FL33" t="s">
        <v>678</v>
      </c>
      <c r="FM33" t="s">
        <v>794</v>
      </c>
      <c r="FN33" t="s">
        <v>353</v>
      </c>
      <c r="FO33" t="s">
        <v>803</v>
      </c>
      <c r="FP33" t="s">
        <v>1627</v>
      </c>
      <c r="FQ33" t="s">
        <v>1628</v>
      </c>
      <c r="FR33" t="s">
        <v>1680</v>
      </c>
      <c r="FS33" t="s">
        <v>1815</v>
      </c>
      <c r="FU33" s="2"/>
    </row>
    <row r="34" spans="1:178" ht="16" customHeight="1">
      <c r="A34">
        <v>2019</v>
      </c>
      <c r="B34">
        <v>3410</v>
      </c>
      <c r="C34" t="s">
        <v>253</v>
      </c>
      <c r="D34" t="s">
        <v>245</v>
      </c>
      <c r="E34" s="203">
        <v>91</v>
      </c>
      <c r="F34" s="203" t="s">
        <v>246</v>
      </c>
      <c r="G34" s="203" t="s">
        <v>247</v>
      </c>
      <c r="H34" s="203" t="s">
        <v>248</v>
      </c>
      <c r="I34" s="202">
        <v>25</v>
      </c>
      <c r="J34" s="202">
        <v>5400</v>
      </c>
      <c r="K34" s="202">
        <v>72820000</v>
      </c>
      <c r="L34" s="253"/>
      <c r="M34" s="254">
        <v>2019</v>
      </c>
      <c r="N34" s="254">
        <v>3050</v>
      </c>
      <c r="O34" s="255" t="s">
        <v>254</v>
      </c>
      <c r="P34" s="254">
        <v>410</v>
      </c>
      <c r="Q34" s="254">
        <v>29</v>
      </c>
      <c r="R34" s="256" t="s">
        <v>263</v>
      </c>
      <c r="S34" s="256" t="s">
        <v>481</v>
      </c>
      <c r="T34" s="350">
        <v>758000</v>
      </c>
      <c r="U34" s="350">
        <v>656000</v>
      </c>
      <c r="V34" s="350">
        <v>3425000</v>
      </c>
      <c r="W34" s="350">
        <v>0</v>
      </c>
      <c r="X34" s="350">
        <v>4839000</v>
      </c>
      <c r="AA34" s="272">
        <v>2019</v>
      </c>
      <c r="AB34" s="272">
        <v>1370</v>
      </c>
      <c r="AC34" s="273" t="s">
        <v>255</v>
      </c>
      <c r="AD34" s="272" t="s">
        <v>489</v>
      </c>
      <c r="AE34" s="272">
        <v>37</v>
      </c>
      <c r="AF34" s="274" t="s">
        <v>388</v>
      </c>
      <c r="AG34" s="272">
        <v>852</v>
      </c>
      <c r="AH34" s="272">
        <v>0</v>
      </c>
      <c r="AI34" s="272">
        <v>850</v>
      </c>
      <c r="AJ34" s="272">
        <v>0</v>
      </c>
      <c r="AK34" s="272">
        <v>89958</v>
      </c>
      <c r="AL34" s="352">
        <v>105.83294117647058</v>
      </c>
      <c r="AX34" s="254">
        <v>2019</v>
      </c>
      <c r="AY34" s="254">
        <v>3740</v>
      </c>
      <c r="AZ34" s="255" t="s">
        <v>244</v>
      </c>
      <c r="BA34" s="254">
        <v>410</v>
      </c>
      <c r="BB34" s="254">
        <v>303</v>
      </c>
      <c r="BC34" s="255" t="s">
        <v>555</v>
      </c>
      <c r="BD34" s="255" t="s">
        <v>557</v>
      </c>
      <c r="BE34" s="350">
        <v>0</v>
      </c>
      <c r="BF34" s="350">
        <v>0</v>
      </c>
      <c r="BG34" s="350">
        <v>0</v>
      </c>
      <c r="BH34" s="350">
        <v>0</v>
      </c>
      <c r="BI34" s="350">
        <v>0</v>
      </c>
      <c r="BK34" s="272">
        <v>2019</v>
      </c>
      <c r="BL34" s="272">
        <v>1370</v>
      </c>
      <c r="BM34" s="273" t="s">
        <v>255</v>
      </c>
      <c r="BN34" s="272" t="s">
        <v>588</v>
      </c>
      <c r="BO34" s="272">
        <v>60</v>
      </c>
      <c r="BP34" s="441" t="s">
        <v>590</v>
      </c>
      <c r="BQ34" s="272">
        <v>0</v>
      </c>
      <c r="BR34" s="272">
        <v>0</v>
      </c>
      <c r="BS34" s="272">
        <v>0</v>
      </c>
      <c r="BT34" s="272">
        <v>0</v>
      </c>
      <c r="BU34" s="272">
        <v>0</v>
      </c>
      <c r="BV34" s="272">
        <v>0</v>
      </c>
      <c r="BY34" t="str">
        <f t="shared" ref="BY34:BY64" si="73">LEFT(BZ34,1)</f>
        <v/>
      </c>
      <c r="BZ34" s="362"/>
      <c r="CA34" s="362"/>
      <c r="CB34" s="362"/>
      <c r="CC34" s="362">
        <f t="shared" si="69"/>
        <v>0</v>
      </c>
      <c r="CD34">
        <f t="shared" si="70"/>
        <v>0</v>
      </c>
      <c r="CE34" s="444"/>
      <c r="CM34" s="299">
        <v>2019</v>
      </c>
      <c r="CN34" s="299">
        <v>1370</v>
      </c>
      <c r="CO34" s="300" t="s">
        <v>255</v>
      </c>
      <c r="CP34" s="299">
        <v>755</v>
      </c>
      <c r="CQ34" s="299">
        <v>1</v>
      </c>
      <c r="CR34" s="307" t="s">
        <v>382</v>
      </c>
      <c r="CS34" s="307" t="s">
        <v>383</v>
      </c>
      <c r="CT34" s="307" t="s">
        <v>384</v>
      </c>
      <c r="CU34" s="308">
        <v>5854</v>
      </c>
      <c r="CV34" s="618" t="s">
        <v>1624</v>
      </c>
      <c r="CW34" s="616"/>
      <c r="CX34" s="616"/>
      <c r="CY34" s="286">
        <f>CS9</f>
        <v>323904000</v>
      </c>
      <c r="DB34">
        <f t="shared" si="72"/>
        <v>1</v>
      </c>
      <c r="DC34" s="595" t="s">
        <v>895</v>
      </c>
      <c r="DD34" s="595" t="s">
        <v>896</v>
      </c>
      <c r="DE34" s="595" t="s">
        <v>690</v>
      </c>
      <c r="DF34" s="286">
        <v>640631</v>
      </c>
      <c r="DG34" s="286">
        <v>66748265</v>
      </c>
      <c r="DH34" s="286">
        <v>2314075723</v>
      </c>
      <c r="DI34" s="286">
        <v>1350585685</v>
      </c>
      <c r="DJ34">
        <v>2</v>
      </c>
      <c r="DK34" s="643">
        <f t="shared" ref="DK34:DK97" si="74">VLOOKUP($DJ34,$DC$341:$DG$383,5)</f>
        <v>122.96653784550514</v>
      </c>
      <c r="DL34" s="408">
        <f t="shared" ref="DL34:DL97" si="75">DK34*DG34</f>
        <v>8207803054.2443066</v>
      </c>
      <c r="EC34" s="289" t="s">
        <v>687</v>
      </c>
      <c r="ED34" s="296">
        <v>701196</v>
      </c>
      <c r="EE34" s="478">
        <v>1</v>
      </c>
      <c r="EF34" s="296">
        <v>701196</v>
      </c>
      <c r="EG34" s="477">
        <v>1.7681514186567275</v>
      </c>
      <c r="EH34" s="594">
        <v>538624.70215642278</v>
      </c>
      <c r="EI34" s="286">
        <v>1239820.7021564227</v>
      </c>
      <c r="EJ34" s="472">
        <f>EF34/EI34</f>
        <v>0.56556242267967327</v>
      </c>
      <c r="EK34" s="472">
        <f>1-EJ34</f>
        <v>0.43443757732032673</v>
      </c>
      <c r="EL34" s="596">
        <v>3.2830203324896508E-2</v>
      </c>
      <c r="EM34" s="453">
        <v>43</v>
      </c>
      <c r="EN34" s="453">
        <v>94</v>
      </c>
      <c r="EO34" s="453">
        <v>58.666666666666664</v>
      </c>
      <c r="EP34" s="453">
        <v>22.05</v>
      </c>
      <c r="EQ34" s="453">
        <v>72.099999999999994</v>
      </c>
      <c r="ER34" s="453">
        <v>36.65</v>
      </c>
      <c r="ES34" s="453">
        <v>27.45</v>
      </c>
      <c r="ET34" s="453">
        <v>117.75</v>
      </c>
      <c r="EU34" s="453">
        <v>101.75</v>
      </c>
      <c r="EV34" s="453">
        <v>75.550396750694532</v>
      </c>
      <c r="EW34" s="453"/>
      <c r="FA34" s="687" t="s">
        <v>690</v>
      </c>
      <c r="FB34" s="606">
        <f>FC34/$EO$57</f>
        <v>103.19595870533374</v>
      </c>
      <c r="FC34" s="606">
        <f>EL10</f>
        <v>6183.1578590945792</v>
      </c>
      <c r="FD34" s="606">
        <f>FB34*FV62</f>
        <v>10692.00711276483</v>
      </c>
      <c r="FE34" s="606">
        <f>FB32</f>
        <v>103.19595870533374</v>
      </c>
      <c r="FF34" s="676">
        <f>FD34*EN24</f>
        <v>320.22849839991284</v>
      </c>
      <c r="FH34">
        <v>14</v>
      </c>
      <c r="FI34" t="s">
        <v>1016</v>
      </c>
      <c r="FJ34" t="s">
        <v>1017</v>
      </c>
      <c r="FK34" t="s">
        <v>697</v>
      </c>
      <c r="FL34" s="286">
        <v>100818</v>
      </c>
      <c r="FM34" s="286">
        <v>11441814</v>
      </c>
      <c r="FN34" s="286">
        <v>121549667</v>
      </c>
      <c r="FO34" s="286">
        <v>44546182</v>
      </c>
      <c r="FP34">
        <v>12</v>
      </c>
      <c r="FQ34" s="925">
        <v>12.148631154247422</v>
      </c>
      <c r="FR34" s="926">
        <v>139002378.02150431</v>
      </c>
      <c r="FS34">
        <v>1</v>
      </c>
      <c r="FU34" s="2"/>
      <c r="FV34" s="788">
        <f>FM34/FL34</f>
        <v>113.48979348925788</v>
      </c>
    </row>
    <row r="35" spans="1:178">
      <c r="A35">
        <v>2019</v>
      </c>
      <c r="B35">
        <v>3410</v>
      </c>
      <c r="C35" t="s">
        <v>253</v>
      </c>
      <c r="D35" t="s">
        <v>245</v>
      </c>
      <c r="E35" s="203">
        <v>92</v>
      </c>
      <c r="F35" s="203" t="s">
        <v>246</v>
      </c>
      <c r="G35" s="203" t="s">
        <v>247</v>
      </c>
      <c r="H35" s="204" t="s">
        <v>249</v>
      </c>
      <c r="I35" s="202">
        <v>0</v>
      </c>
      <c r="J35" s="202">
        <v>0</v>
      </c>
      <c r="K35" s="202">
        <v>0</v>
      </c>
      <c r="L35" s="253"/>
      <c r="M35" s="254">
        <v>2019</v>
      </c>
      <c r="N35" s="254">
        <v>2670</v>
      </c>
      <c r="O35" s="255" t="s">
        <v>257</v>
      </c>
      <c r="P35" s="254">
        <v>410</v>
      </c>
      <c r="Q35" s="254">
        <v>29</v>
      </c>
      <c r="R35" s="256" t="s">
        <v>263</v>
      </c>
      <c r="S35" s="256" t="s">
        <v>481</v>
      </c>
      <c r="T35" s="350">
        <v>561000</v>
      </c>
      <c r="U35" s="350">
        <v>262000</v>
      </c>
      <c r="V35" s="350">
        <v>243000</v>
      </c>
      <c r="W35" s="350">
        <v>123000</v>
      </c>
      <c r="X35" s="350">
        <v>1189000</v>
      </c>
      <c r="AA35" s="272">
        <v>2019</v>
      </c>
      <c r="AB35" s="272">
        <v>1370</v>
      </c>
      <c r="AC35" s="273" t="s">
        <v>255</v>
      </c>
      <c r="AD35" s="272" t="s">
        <v>489</v>
      </c>
      <c r="AE35" s="272">
        <v>38</v>
      </c>
      <c r="AF35" s="274" t="s">
        <v>389</v>
      </c>
      <c r="AG35" s="272">
        <v>2965</v>
      </c>
      <c r="AH35" s="272">
        <v>51</v>
      </c>
      <c r="AI35" s="272">
        <v>2795</v>
      </c>
      <c r="AJ35" s="272">
        <v>14</v>
      </c>
      <c r="AK35" s="272">
        <v>267302</v>
      </c>
      <c r="AL35" s="352">
        <v>95.635778175313064</v>
      </c>
      <c r="AX35" s="254">
        <v>2019</v>
      </c>
      <c r="AY35" s="254">
        <v>3740</v>
      </c>
      <c r="AZ35" s="255" t="s">
        <v>244</v>
      </c>
      <c r="BA35" s="254">
        <v>410</v>
      </c>
      <c r="BB35" s="254">
        <v>304</v>
      </c>
      <c r="BC35" s="255" t="s">
        <v>555</v>
      </c>
      <c r="BD35" s="255" t="s">
        <v>558</v>
      </c>
      <c r="BE35" s="350">
        <v>212000</v>
      </c>
      <c r="BF35" s="350">
        <v>0</v>
      </c>
      <c r="BG35" s="350">
        <v>23000</v>
      </c>
      <c r="BH35" s="350">
        <v>80000</v>
      </c>
      <c r="BI35" s="350">
        <v>315000</v>
      </c>
      <c r="BK35" s="272">
        <v>2019</v>
      </c>
      <c r="BL35" s="272">
        <v>1370</v>
      </c>
      <c r="BM35" s="273" t="s">
        <v>255</v>
      </c>
      <c r="BN35" s="272" t="s">
        <v>588</v>
      </c>
      <c r="BO35" s="272">
        <v>61</v>
      </c>
      <c r="BP35" s="441" t="s">
        <v>591</v>
      </c>
      <c r="BQ35" s="272">
        <v>0</v>
      </c>
      <c r="BR35" s="272">
        <v>0</v>
      </c>
      <c r="BS35" s="272">
        <v>0</v>
      </c>
      <c r="BT35" s="272">
        <v>0</v>
      </c>
      <c r="BU35" s="272">
        <v>0</v>
      </c>
      <c r="BV35" s="272">
        <v>0</v>
      </c>
      <c r="BY35" t="str">
        <f t="shared" si="73"/>
        <v>S</v>
      </c>
      <c r="BZ35" s="362" t="s">
        <v>613</v>
      </c>
      <c r="CA35" s="362">
        <v>1</v>
      </c>
      <c r="CB35" s="362">
        <v>2</v>
      </c>
      <c r="CC35" s="362">
        <f t="shared" si="69"/>
        <v>242</v>
      </c>
      <c r="CD35">
        <f t="shared" si="70"/>
        <v>121</v>
      </c>
      <c r="CE35" s="444">
        <v>121</v>
      </c>
      <c r="CM35" s="299">
        <v>2019</v>
      </c>
      <c r="CN35" s="299">
        <v>1370</v>
      </c>
      <c r="CO35" s="300" t="s">
        <v>255</v>
      </c>
      <c r="CP35" s="299">
        <v>755</v>
      </c>
      <c r="CQ35" s="299">
        <v>2</v>
      </c>
      <c r="CR35" s="294" t="s">
        <v>320</v>
      </c>
      <c r="CS35" s="294" t="s">
        <v>321</v>
      </c>
      <c r="CT35" s="294" t="s">
        <v>322</v>
      </c>
      <c r="CU35" s="301">
        <v>2415212</v>
      </c>
      <c r="CV35" s="618" t="s">
        <v>1625</v>
      </c>
      <c r="CY35" s="286">
        <f>CY32+CY34</f>
        <v>19521160000</v>
      </c>
      <c r="DB35">
        <f t="shared" si="72"/>
        <v>1</v>
      </c>
      <c r="DC35" s="595" t="s">
        <v>897</v>
      </c>
      <c r="DD35" s="595" t="s">
        <v>898</v>
      </c>
      <c r="DE35" s="595" t="s">
        <v>690</v>
      </c>
      <c r="DF35" s="286">
        <v>16771</v>
      </c>
      <c r="DG35" s="286">
        <v>1500829</v>
      </c>
      <c r="DH35" s="286">
        <v>53460365</v>
      </c>
      <c r="DI35" s="286">
        <v>31389367</v>
      </c>
      <c r="DJ35">
        <v>2</v>
      </c>
      <c r="DK35" s="643">
        <f t="shared" si="74"/>
        <v>122.96653784550514</v>
      </c>
      <c r="DL35" s="408">
        <f t="shared" si="75"/>
        <v>184551746.02813163</v>
      </c>
      <c r="EC35" s="289" t="s">
        <v>686</v>
      </c>
      <c r="ED35" s="296">
        <v>82700</v>
      </c>
      <c r="EE35" s="478">
        <v>1</v>
      </c>
      <c r="EF35" s="296">
        <v>82700</v>
      </c>
      <c r="EG35" s="477">
        <v>1.8550029036996549</v>
      </c>
      <c r="EH35" s="594">
        <v>70708.74013596146</v>
      </c>
      <c r="EI35" s="286">
        <v>153408.74013596145</v>
      </c>
      <c r="EJ35" s="472">
        <f t="shared" ref="EJ35:EJ49" si="76">EF35/EI35</f>
        <v>0.53908271410550357</v>
      </c>
      <c r="EK35" s="472">
        <f t="shared" ref="EK35:EK49" si="77">1-EJ35</f>
        <v>0.46091728589449643</v>
      </c>
      <c r="EL35" s="596">
        <v>4.0622326451880781E-3</v>
      </c>
      <c r="EM35" s="453">
        <v>41.75</v>
      </c>
      <c r="EN35" s="453">
        <v>92.583333333333329</v>
      </c>
      <c r="EO35" s="453">
        <v>57.083333333333336</v>
      </c>
      <c r="EP35" s="453">
        <v>21.8</v>
      </c>
      <c r="EQ35" s="453">
        <v>93.25</v>
      </c>
      <c r="ER35" s="453">
        <v>33.15</v>
      </c>
      <c r="ES35" s="453">
        <v>16.75</v>
      </c>
      <c r="ET35" s="453">
        <v>108.15</v>
      </c>
      <c r="EU35" s="453">
        <v>79.650000000000006</v>
      </c>
      <c r="EV35" s="453">
        <v>72.013155985489718</v>
      </c>
      <c r="EW35" s="453"/>
      <c r="FA35" s="544" t="s">
        <v>1712</v>
      </c>
      <c r="FB35" s="715">
        <f>FB37</f>
        <v>105.16240797025155</v>
      </c>
      <c r="FC35" s="4"/>
      <c r="FD35" s="4"/>
      <c r="FE35" s="4"/>
      <c r="FF35" s="659" t="s">
        <v>1691</v>
      </c>
      <c r="FH35">
        <v>11</v>
      </c>
      <c r="FI35" t="s">
        <v>1077</v>
      </c>
      <c r="FJ35" t="s">
        <v>1078</v>
      </c>
      <c r="FK35" t="s">
        <v>697</v>
      </c>
      <c r="FL35" s="286">
        <v>2705188</v>
      </c>
      <c r="FM35" s="286">
        <v>320651931.00000006</v>
      </c>
      <c r="FN35" s="286">
        <v>5602720049.000001</v>
      </c>
      <c r="FO35" s="286">
        <v>3684478639</v>
      </c>
      <c r="FP35">
        <v>15</v>
      </c>
      <c r="FQ35" s="925">
        <v>43.273741284778055</v>
      </c>
      <c r="FR35" s="926">
        <v>13875808704.558506</v>
      </c>
      <c r="FS35">
        <v>1</v>
      </c>
      <c r="FU35" s="2"/>
      <c r="FV35" s="788">
        <f>FM35/FL35</f>
        <v>118.53221698454971</v>
      </c>
    </row>
    <row r="36" spans="1:178">
      <c r="A36">
        <v>2019</v>
      </c>
      <c r="B36">
        <v>3410</v>
      </c>
      <c r="C36" t="s">
        <v>253</v>
      </c>
      <c r="D36" t="s">
        <v>245</v>
      </c>
      <c r="E36" s="203">
        <v>93</v>
      </c>
      <c r="F36" s="203" t="s">
        <v>250</v>
      </c>
      <c r="G36" s="203" t="s">
        <v>247</v>
      </c>
      <c r="H36" s="203" t="s">
        <v>248</v>
      </c>
      <c r="I36" s="202">
        <v>0</v>
      </c>
      <c r="J36" s="202">
        <v>0</v>
      </c>
      <c r="K36" s="202">
        <v>0</v>
      </c>
      <c r="L36" s="253"/>
      <c r="M36" s="254">
        <v>2019</v>
      </c>
      <c r="N36" s="254">
        <v>1550</v>
      </c>
      <c r="O36" s="255" t="s">
        <v>258</v>
      </c>
      <c r="P36" s="254">
        <v>410</v>
      </c>
      <c r="Q36" s="254">
        <v>29</v>
      </c>
      <c r="R36" s="256" t="s">
        <v>263</v>
      </c>
      <c r="S36" s="256" t="s">
        <v>481</v>
      </c>
      <c r="T36" s="350">
        <v>102000</v>
      </c>
      <c r="U36" s="350">
        <v>1337000</v>
      </c>
      <c r="V36" s="350">
        <v>2051000</v>
      </c>
      <c r="W36" s="350">
        <v>0</v>
      </c>
      <c r="X36" s="350">
        <v>3490000</v>
      </c>
      <c r="AA36" s="272">
        <v>2019</v>
      </c>
      <c r="AB36" s="272">
        <v>1370</v>
      </c>
      <c r="AC36" s="273" t="s">
        <v>255</v>
      </c>
      <c r="AD36" s="272" t="s">
        <v>489</v>
      </c>
      <c r="AE36" s="272">
        <v>39</v>
      </c>
      <c r="AF36" s="274" t="s">
        <v>390</v>
      </c>
      <c r="AG36" s="272">
        <v>509</v>
      </c>
      <c r="AH36" s="272">
        <v>6</v>
      </c>
      <c r="AI36" s="272">
        <v>436</v>
      </c>
      <c r="AJ36" s="272">
        <v>6</v>
      </c>
      <c r="AK36" s="272">
        <v>47304</v>
      </c>
      <c r="AL36" s="352">
        <v>108.49541284403669</v>
      </c>
      <c r="AX36" s="254">
        <v>2019</v>
      </c>
      <c r="AY36" s="254">
        <v>3740</v>
      </c>
      <c r="AZ36" s="255" t="s">
        <v>244</v>
      </c>
      <c r="BA36" s="254">
        <v>410</v>
      </c>
      <c r="BB36" s="254">
        <v>305</v>
      </c>
      <c r="BC36" s="255" t="s">
        <v>555</v>
      </c>
      <c r="BD36" s="255" t="s">
        <v>559</v>
      </c>
      <c r="BE36" s="350">
        <v>0</v>
      </c>
      <c r="BF36" s="350">
        <v>8602000</v>
      </c>
      <c r="BG36" s="350">
        <v>40378000</v>
      </c>
      <c r="BH36" s="350">
        <v>0</v>
      </c>
      <c r="BI36" s="350">
        <v>48980000</v>
      </c>
      <c r="BK36" s="272">
        <v>2019</v>
      </c>
      <c r="BL36" s="272">
        <v>1370</v>
      </c>
      <c r="BM36" s="273" t="s">
        <v>255</v>
      </c>
      <c r="BN36" s="272" t="s">
        <v>588</v>
      </c>
      <c r="BO36" s="272">
        <v>62</v>
      </c>
      <c r="BP36" s="441" t="s">
        <v>592</v>
      </c>
      <c r="BQ36" s="272">
        <v>0</v>
      </c>
      <c r="BR36" s="272">
        <v>0</v>
      </c>
      <c r="BS36" s="272">
        <v>0</v>
      </c>
      <c r="BT36" s="272">
        <v>0</v>
      </c>
      <c r="BU36" s="272">
        <v>0</v>
      </c>
      <c r="BV36" s="272">
        <v>0</v>
      </c>
      <c r="BY36" t="str">
        <f t="shared" si="73"/>
        <v>S</v>
      </c>
      <c r="BZ36" s="362" t="s">
        <v>614</v>
      </c>
      <c r="CA36" s="362">
        <v>1</v>
      </c>
      <c r="CB36" s="362">
        <v>2</v>
      </c>
      <c r="CC36" s="362">
        <f t="shared" si="69"/>
        <v>294</v>
      </c>
      <c r="CD36">
        <f t="shared" si="70"/>
        <v>147</v>
      </c>
      <c r="CE36" s="444">
        <v>147</v>
      </c>
      <c r="CM36" s="299">
        <v>2019</v>
      </c>
      <c r="CN36" s="299">
        <v>1370</v>
      </c>
      <c r="CO36" s="300" t="s">
        <v>255</v>
      </c>
      <c r="CP36" s="299">
        <v>755</v>
      </c>
      <c r="CQ36" s="299">
        <v>3</v>
      </c>
      <c r="CR36" s="294" t="s">
        <v>320</v>
      </c>
      <c r="CS36" s="294" t="s">
        <v>321</v>
      </c>
      <c r="CT36" s="294" t="s">
        <v>323</v>
      </c>
      <c r="CU36" s="301">
        <v>4029441</v>
      </c>
      <c r="CV36" s="618" t="s">
        <v>1626</v>
      </c>
      <c r="CY36" s="286">
        <f>CY34+CY33</f>
        <v>33241990000</v>
      </c>
      <c r="DB36">
        <f t="shared" si="72"/>
        <v>1</v>
      </c>
      <c r="DC36" s="595" t="s">
        <v>899</v>
      </c>
      <c r="DD36" s="595" t="s">
        <v>900</v>
      </c>
      <c r="DE36" s="595" t="s">
        <v>690</v>
      </c>
      <c r="DF36" s="286">
        <v>16099</v>
      </c>
      <c r="DG36" s="286">
        <v>1557831.9999999998</v>
      </c>
      <c r="DH36" s="286">
        <v>60645816</v>
      </c>
      <c r="DI36" s="286">
        <v>34683800</v>
      </c>
      <c r="DJ36">
        <v>2</v>
      </c>
      <c r="DK36" s="643">
        <f t="shared" si="74"/>
        <v>122.96653784550514</v>
      </c>
      <c r="DL36" s="408">
        <f t="shared" si="75"/>
        <v>191561207.58493894</v>
      </c>
      <c r="EC36" s="289" t="s">
        <v>690</v>
      </c>
      <c r="ED36" s="296">
        <v>4481530</v>
      </c>
      <c r="EE36" s="478">
        <v>1</v>
      </c>
      <c r="EF36" s="296">
        <v>4481530</v>
      </c>
      <c r="EG36" s="477">
        <v>2.0135584440475895</v>
      </c>
      <c r="EH36" s="594">
        <v>4542292.5737525942</v>
      </c>
      <c r="EI36" s="286">
        <v>9023822.5737525932</v>
      </c>
      <c r="EJ36" s="472">
        <f t="shared" si="76"/>
        <v>0.49663321318343889</v>
      </c>
      <c r="EK36" s="472">
        <f t="shared" si="77"/>
        <v>0.50336678681656111</v>
      </c>
      <c r="EL36" s="596">
        <v>0.23894901040837072</v>
      </c>
      <c r="EM36" s="453">
        <v>36.916666666666664</v>
      </c>
      <c r="EN36" s="453">
        <v>88</v>
      </c>
      <c r="EO36" s="453">
        <v>59.916666666666664</v>
      </c>
      <c r="EP36" s="453">
        <v>15</v>
      </c>
      <c r="EQ36" s="453">
        <v>60</v>
      </c>
      <c r="ER36" s="453">
        <v>31.25</v>
      </c>
      <c r="ES36" s="453">
        <v>50</v>
      </c>
      <c r="ET36" s="453">
        <v>207.65</v>
      </c>
      <c r="EU36" s="453">
        <v>110.7</v>
      </c>
      <c r="EV36" s="453">
        <v>99.47881884088693</v>
      </c>
      <c r="EW36" s="453"/>
      <c r="FA36" s="714" t="s">
        <v>800</v>
      </c>
      <c r="FB36" s="794" t="s">
        <v>1599</v>
      </c>
      <c r="FC36" s="794" t="s">
        <v>1600</v>
      </c>
      <c r="FD36" s="794" t="s">
        <v>1601</v>
      </c>
      <c r="FE36" s="794" t="s">
        <v>1689</v>
      </c>
      <c r="FF36" s="795" t="s">
        <v>1690</v>
      </c>
      <c r="FL36" s="286">
        <f>FL34+FL35</f>
        <v>2806006</v>
      </c>
      <c r="FM36" s="286">
        <f>FM34+FM35</f>
        <v>332093745.00000006</v>
      </c>
      <c r="FQ36" s="643">
        <f>FR36/FM36</f>
        <v>42.20137022628959</v>
      </c>
      <c r="FR36" s="926">
        <f>FR34+FR35</f>
        <v>14014811082.580009</v>
      </c>
      <c r="FT36" s="927">
        <f>-1*(PMT($EA$23,$EA$24,FQ36,$EA$25*FQ36)/(365*24))</f>
        <v>5.4669080973508482E-3</v>
      </c>
      <c r="FU36" s="790">
        <f>FT36*FV36</f>
        <v>0.64701429135221666</v>
      </c>
      <c r="FV36" s="788">
        <f>FM36/FL36</f>
        <v>118.35104593504079</v>
      </c>
    </row>
    <row r="37" spans="1:178" ht="16" customHeight="1">
      <c r="A37">
        <v>2019</v>
      </c>
      <c r="B37">
        <v>3410</v>
      </c>
      <c r="C37" t="s">
        <v>253</v>
      </c>
      <c r="D37" t="s">
        <v>245</v>
      </c>
      <c r="E37" s="203">
        <v>94</v>
      </c>
      <c r="F37" s="203" t="s">
        <v>250</v>
      </c>
      <c r="G37" s="203" t="s">
        <v>247</v>
      </c>
      <c r="H37" s="204" t="s">
        <v>249</v>
      </c>
      <c r="I37" s="202">
        <v>0</v>
      </c>
      <c r="J37" s="202">
        <v>0</v>
      </c>
      <c r="K37" s="202">
        <v>0</v>
      </c>
      <c r="L37" s="253"/>
      <c r="M37" s="254">
        <v>2019</v>
      </c>
      <c r="N37" s="254">
        <v>1370</v>
      </c>
      <c r="O37" s="255" t="s">
        <v>255</v>
      </c>
      <c r="P37" s="254">
        <v>410</v>
      </c>
      <c r="Q37" s="254">
        <v>29</v>
      </c>
      <c r="R37" s="256" t="s">
        <v>263</v>
      </c>
      <c r="S37" s="256" t="s">
        <v>481</v>
      </c>
      <c r="T37" s="350">
        <v>0</v>
      </c>
      <c r="U37" s="350">
        <v>0</v>
      </c>
      <c r="V37" s="350">
        <v>0</v>
      </c>
      <c r="W37" s="350">
        <v>0</v>
      </c>
      <c r="X37" s="350">
        <v>0</v>
      </c>
      <c r="AA37" s="272">
        <v>2019</v>
      </c>
      <c r="AB37" s="272">
        <v>1370</v>
      </c>
      <c r="AC37" s="273" t="s">
        <v>255</v>
      </c>
      <c r="AD37" s="272" t="s">
        <v>489</v>
      </c>
      <c r="AE37" s="272">
        <v>40</v>
      </c>
      <c r="AF37" s="274" t="s">
        <v>391</v>
      </c>
      <c r="AG37" s="272">
        <v>1980</v>
      </c>
      <c r="AH37" s="272">
        <v>238</v>
      </c>
      <c r="AI37" s="272">
        <v>1866</v>
      </c>
      <c r="AJ37" s="272">
        <v>212</v>
      </c>
      <c r="AK37" s="272">
        <v>215533</v>
      </c>
      <c r="AL37" s="352">
        <v>115.505359056806</v>
      </c>
      <c r="AX37" s="254">
        <v>2019</v>
      </c>
      <c r="AY37" s="254">
        <v>3740</v>
      </c>
      <c r="AZ37" s="255" t="s">
        <v>244</v>
      </c>
      <c r="BA37" s="254">
        <v>410</v>
      </c>
      <c r="BB37" s="254">
        <v>306</v>
      </c>
      <c r="BC37" s="255" t="s">
        <v>555</v>
      </c>
      <c r="BD37" s="255" t="s">
        <v>560</v>
      </c>
      <c r="BE37" s="350">
        <v>0</v>
      </c>
      <c r="BF37" s="350">
        <v>97000</v>
      </c>
      <c r="BG37" s="350">
        <v>1878000</v>
      </c>
      <c r="BH37" s="350">
        <v>0</v>
      </c>
      <c r="BI37" s="350">
        <v>1975000</v>
      </c>
      <c r="BK37" s="272">
        <v>2019</v>
      </c>
      <c r="BL37" s="272">
        <v>1370</v>
      </c>
      <c r="BM37" s="273" t="s">
        <v>255</v>
      </c>
      <c r="BN37" s="272" t="s">
        <v>588</v>
      </c>
      <c r="BO37" s="272">
        <v>63</v>
      </c>
      <c r="BP37" s="441" t="s">
        <v>593</v>
      </c>
      <c r="BQ37" s="272">
        <v>0</v>
      </c>
      <c r="BR37" s="272">
        <v>0</v>
      </c>
      <c r="BS37" s="272">
        <v>0</v>
      </c>
      <c r="BT37" s="272">
        <v>0</v>
      </c>
      <c r="BU37" s="272">
        <v>0</v>
      </c>
      <c r="BV37" s="272">
        <v>0</v>
      </c>
      <c r="BY37" t="str">
        <f t="shared" si="73"/>
        <v>S</v>
      </c>
      <c r="BZ37" s="362" t="s">
        <v>615</v>
      </c>
      <c r="CA37" s="362">
        <v>1</v>
      </c>
      <c r="CB37" s="362">
        <v>2</v>
      </c>
      <c r="CC37" s="362">
        <f t="shared" si="69"/>
        <v>28324</v>
      </c>
      <c r="CD37">
        <f t="shared" si="70"/>
        <v>14162</v>
      </c>
      <c r="CE37" s="444">
        <v>14162</v>
      </c>
      <c r="CM37" s="299">
        <v>2019</v>
      </c>
      <c r="CN37" s="299">
        <v>1370</v>
      </c>
      <c r="CO37" s="300" t="s">
        <v>255</v>
      </c>
      <c r="CP37" s="299">
        <v>755</v>
      </c>
      <c r="CQ37" s="299">
        <v>4</v>
      </c>
      <c r="CR37" s="294" t="s">
        <v>320</v>
      </c>
      <c r="CS37" s="294" t="s">
        <v>324</v>
      </c>
      <c r="CT37" s="294" t="s">
        <v>325</v>
      </c>
      <c r="CU37" s="301">
        <v>11439205</v>
      </c>
      <c r="DB37">
        <f t="shared" si="72"/>
        <v>1</v>
      </c>
      <c r="DC37" s="595" t="s">
        <v>901</v>
      </c>
      <c r="DD37" s="595" t="s">
        <v>902</v>
      </c>
      <c r="DE37" s="595" t="s">
        <v>690</v>
      </c>
      <c r="DF37" s="286">
        <v>391703</v>
      </c>
      <c r="DG37" s="286">
        <v>39830838</v>
      </c>
      <c r="DH37" s="286">
        <v>1584015892</v>
      </c>
      <c r="DI37" s="286">
        <v>755167163</v>
      </c>
      <c r="DJ37">
        <v>2</v>
      </c>
      <c r="DK37" s="643">
        <f t="shared" si="74"/>
        <v>122.96653784550514</v>
      </c>
      <c r="DL37" s="408">
        <f t="shared" si="75"/>
        <v>4897860248.3451843</v>
      </c>
      <c r="DM37" s="286"/>
      <c r="DN37" s="286"/>
      <c r="EC37" s="289" t="s">
        <v>689</v>
      </c>
      <c r="ED37" s="296">
        <v>503778</v>
      </c>
      <c r="EE37" s="478">
        <v>1</v>
      </c>
      <c r="EF37" s="296">
        <v>503778</v>
      </c>
      <c r="EG37" s="477">
        <v>1.9764118884082422</v>
      </c>
      <c r="EH37" s="594">
        <v>491894.82831852743</v>
      </c>
      <c r="EI37" s="286">
        <v>995672.82831852743</v>
      </c>
      <c r="EJ37" s="472">
        <f t="shared" si="76"/>
        <v>0.50596740783894878</v>
      </c>
      <c r="EK37" s="472">
        <f t="shared" si="77"/>
        <v>0.49403259216105122</v>
      </c>
      <c r="EL37" s="596">
        <v>2.6365216633274048E-2</v>
      </c>
      <c r="EM37" s="453">
        <v>28.833333333333332</v>
      </c>
      <c r="EN37" s="453">
        <v>87.833333333333329</v>
      </c>
      <c r="EO37" s="453">
        <v>57.166666666666664</v>
      </c>
      <c r="EP37" s="453">
        <v>20.2</v>
      </c>
      <c r="EQ37" s="453">
        <v>72.5</v>
      </c>
      <c r="ER37" s="453">
        <v>33.15</v>
      </c>
      <c r="ES37" s="453">
        <v>38</v>
      </c>
      <c r="ET37" s="453">
        <v>122.8</v>
      </c>
      <c r="EU37" s="453">
        <v>105.05</v>
      </c>
      <c r="EV37" s="453">
        <v>92.097558845364432</v>
      </c>
      <c r="EW37" s="453"/>
      <c r="FA37" s="687" t="s">
        <v>690</v>
      </c>
      <c r="FB37" s="606">
        <f>FC37/$EO$57</f>
        <v>105.16240797025155</v>
      </c>
      <c r="FC37" s="606">
        <f>EL20</f>
        <v>6300.980944217572</v>
      </c>
      <c r="FD37" s="606">
        <f>FB37*FV9</f>
        <v>11324.026021647005</v>
      </c>
      <c r="FE37" s="606">
        <f>FB35</f>
        <v>105.16240797025155</v>
      </c>
      <c r="FF37" s="676">
        <f>FD37*EN25</f>
        <v>155.92239128815163</v>
      </c>
      <c r="FI37" s="2" t="s">
        <v>1208</v>
      </c>
      <c r="FU37" s="2"/>
    </row>
    <row r="38" spans="1:178" ht="16" customHeight="1">
      <c r="A38">
        <v>2019</v>
      </c>
      <c r="B38">
        <v>3410</v>
      </c>
      <c r="C38" t="s">
        <v>253</v>
      </c>
      <c r="D38" t="s">
        <v>245</v>
      </c>
      <c r="E38" s="203">
        <v>97</v>
      </c>
      <c r="F38" s="203" t="s">
        <v>251</v>
      </c>
      <c r="G38" s="203" t="s">
        <v>247</v>
      </c>
      <c r="H38" s="203" t="s">
        <v>248</v>
      </c>
      <c r="I38" s="202">
        <v>0</v>
      </c>
      <c r="J38" s="202">
        <v>0</v>
      </c>
      <c r="K38" s="202">
        <v>0</v>
      </c>
      <c r="L38" s="253"/>
      <c r="M38" s="254">
        <v>2019</v>
      </c>
      <c r="N38" s="254">
        <v>3740</v>
      </c>
      <c r="O38" s="255" t="s">
        <v>244</v>
      </c>
      <c r="P38" s="254">
        <v>410</v>
      </c>
      <c r="Q38" s="254">
        <v>220</v>
      </c>
      <c r="R38" s="255" t="s">
        <v>36</v>
      </c>
      <c r="S38" s="255" t="s">
        <v>203</v>
      </c>
      <c r="T38" s="350">
        <v>9081000</v>
      </c>
      <c r="U38" s="350">
        <v>1716000</v>
      </c>
      <c r="V38" s="350">
        <v>1147000</v>
      </c>
      <c r="W38" s="350">
        <v>476000</v>
      </c>
      <c r="X38" s="350">
        <v>12420000</v>
      </c>
      <c r="AA38" s="272">
        <v>2019</v>
      </c>
      <c r="AB38" s="272">
        <v>1370</v>
      </c>
      <c r="AC38" s="273" t="s">
        <v>255</v>
      </c>
      <c r="AD38" s="272" t="s">
        <v>489</v>
      </c>
      <c r="AE38" s="272">
        <v>41</v>
      </c>
      <c r="AF38" s="274" t="s">
        <v>392</v>
      </c>
      <c r="AG38" s="272">
        <v>4247</v>
      </c>
      <c r="AH38" s="272">
        <v>29</v>
      </c>
      <c r="AI38" s="272">
        <v>3659</v>
      </c>
      <c r="AJ38" s="272">
        <v>4</v>
      </c>
      <c r="AK38" s="272">
        <v>388168</v>
      </c>
      <c r="AL38" s="352">
        <v>106.08581579666576</v>
      </c>
      <c r="AX38" s="254">
        <v>2019</v>
      </c>
      <c r="AY38" s="254">
        <v>3740</v>
      </c>
      <c r="AZ38" s="255" t="s">
        <v>244</v>
      </c>
      <c r="BA38" s="254">
        <v>410</v>
      </c>
      <c r="BB38" s="254">
        <v>307</v>
      </c>
      <c r="BC38" s="255" t="s">
        <v>555</v>
      </c>
      <c r="BD38" s="255" t="s">
        <v>561</v>
      </c>
      <c r="BE38" s="350">
        <v>1940000</v>
      </c>
      <c r="BF38" s="350">
        <v>1160000</v>
      </c>
      <c r="BG38" s="350">
        <v>49225000</v>
      </c>
      <c r="BH38" s="350">
        <v>0</v>
      </c>
      <c r="BI38" s="350">
        <v>52325000</v>
      </c>
      <c r="BK38" s="272">
        <v>2019</v>
      </c>
      <c r="BL38" s="272">
        <v>1370</v>
      </c>
      <c r="BM38" s="273" t="s">
        <v>255</v>
      </c>
      <c r="BN38" s="272" t="s">
        <v>588</v>
      </c>
      <c r="BO38" s="272">
        <v>64</v>
      </c>
      <c r="BP38" s="441" t="s">
        <v>594</v>
      </c>
      <c r="BQ38" s="272">
        <v>0</v>
      </c>
      <c r="BR38" s="272">
        <v>0</v>
      </c>
      <c r="BS38" s="272">
        <v>0</v>
      </c>
      <c r="BT38" s="272">
        <v>0</v>
      </c>
      <c r="BU38" s="272">
        <v>0</v>
      </c>
      <c r="BV38" s="272">
        <v>0</v>
      </c>
      <c r="BY38" t="str">
        <f t="shared" si="73"/>
        <v>S</v>
      </c>
      <c r="BZ38" s="362" t="s">
        <v>616</v>
      </c>
      <c r="CA38" s="362">
        <v>1</v>
      </c>
      <c r="CB38" s="362">
        <v>2</v>
      </c>
      <c r="CC38" s="362">
        <f t="shared" si="69"/>
        <v>8038</v>
      </c>
      <c r="CD38">
        <f t="shared" si="70"/>
        <v>4019</v>
      </c>
      <c r="CE38" s="444">
        <v>4019</v>
      </c>
      <c r="CM38" s="299">
        <v>2019</v>
      </c>
      <c r="CN38" s="299">
        <v>1370</v>
      </c>
      <c r="CO38" s="300" t="s">
        <v>255</v>
      </c>
      <c r="CP38" s="299">
        <v>755</v>
      </c>
      <c r="CQ38" s="299">
        <v>5</v>
      </c>
      <c r="CR38" s="294" t="s">
        <v>320</v>
      </c>
      <c r="CS38" s="294" t="s">
        <v>324</v>
      </c>
      <c r="CT38" s="294" t="s">
        <v>326</v>
      </c>
      <c r="CU38" s="301">
        <v>17883858</v>
      </c>
      <c r="DB38">
        <f t="shared" si="72"/>
        <v>1</v>
      </c>
      <c r="DC38" s="595" t="s">
        <v>903</v>
      </c>
      <c r="DD38" s="595" t="s">
        <v>904</v>
      </c>
      <c r="DE38" s="595" t="s">
        <v>690</v>
      </c>
      <c r="DF38" s="286">
        <v>2388</v>
      </c>
      <c r="DG38" s="286">
        <v>228736</v>
      </c>
      <c r="DH38" s="286">
        <v>5200498</v>
      </c>
      <c r="DI38" s="286">
        <v>3260966</v>
      </c>
      <c r="DJ38">
        <v>2</v>
      </c>
      <c r="DK38" s="643">
        <f t="shared" si="74"/>
        <v>122.96653784550514</v>
      </c>
      <c r="DL38" s="408">
        <f t="shared" si="75"/>
        <v>28126874.000629466</v>
      </c>
      <c r="DM38" s="286"/>
      <c r="DN38" s="286"/>
      <c r="EC38" s="289" t="s">
        <v>694</v>
      </c>
      <c r="ED38" s="296">
        <v>517423</v>
      </c>
      <c r="EE38" s="478">
        <v>1</v>
      </c>
      <c r="EF38" s="296">
        <v>517423</v>
      </c>
      <c r="EG38" s="477">
        <v>1.9706081166505121</v>
      </c>
      <c r="EH38" s="594">
        <v>502214.9635416579</v>
      </c>
      <c r="EI38" s="286">
        <v>1019637.9635416579</v>
      </c>
      <c r="EJ38" s="472">
        <f t="shared" si="76"/>
        <v>0.50745756680416143</v>
      </c>
      <c r="EK38" s="472">
        <f t="shared" si="77"/>
        <v>0.49254243319583857</v>
      </c>
      <c r="EL38" s="596">
        <v>2.6999808603480356E-2</v>
      </c>
      <c r="EM38" s="453">
        <v>24</v>
      </c>
      <c r="EN38" s="453">
        <v>187.41666666666666</v>
      </c>
      <c r="EO38" s="453">
        <v>80.416666666666671</v>
      </c>
      <c r="EP38" s="453">
        <v>0.05</v>
      </c>
      <c r="EQ38" s="453">
        <v>265.25</v>
      </c>
      <c r="ER38" s="453">
        <v>32.1</v>
      </c>
      <c r="ES38" s="453">
        <v>0.05</v>
      </c>
      <c r="ET38" s="453">
        <v>499.99950000000001</v>
      </c>
      <c r="EU38" s="453">
        <v>102.45</v>
      </c>
      <c r="EV38" s="453">
        <v>83.444147245097341</v>
      </c>
      <c r="EW38" s="453"/>
      <c r="FA38" s="544" t="s">
        <v>1713</v>
      </c>
      <c r="FB38" s="715">
        <f>FB40</f>
        <v>105.16240797025155</v>
      </c>
      <c r="FC38" s="4"/>
      <c r="FD38" s="4"/>
      <c r="FE38" s="4"/>
      <c r="FF38" s="659" t="s">
        <v>1691</v>
      </c>
      <c r="FH38" t="s">
        <v>797</v>
      </c>
      <c r="FI38" t="s">
        <v>804</v>
      </c>
      <c r="FJ38" t="s">
        <v>805</v>
      </c>
      <c r="FK38" t="s">
        <v>800</v>
      </c>
      <c r="FL38" t="s">
        <v>678</v>
      </c>
      <c r="FM38" t="s">
        <v>794</v>
      </c>
      <c r="FN38" t="s">
        <v>353</v>
      </c>
      <c r="FO38" t="s">
        <v>803</v>
      </c>
      <c r="FP38" t="s">
        <v>1627</v>
      </c>
      <c r="FQ38" t="s">
        <v>1628</v>
      </c>
      <c r="FR38" t="s">
        <v>1680</v>
      </c>
      <c r="FS38" t="s">
        <v>1815</v>
      </c>
      <c r="FU38" s="2"/>
    </row>
    <row r="39" spans="1:178" ht="16" customHeight="1">
      <c r="A39">
        <v>2019</v>
      </c>
      <c r="B39">
        <v>3410</v>
      </c>
      <c r="C39" t="s">
        <v>253</v>
      </c>
      <c r="D39" t="s">
        <v>245</v>
      </c>
      <c r="E39" s="203">
        <v>98</v>
      </c>
      <c r="F39" s="203" t="s">
        <v>251</v>
      </c>
      <c r="G39" s="203" t="s">
        <v>247</v>
      </c>
      <c r="H39" s="204" t="s">
        <v>249</v>
      </c>
      <c r="I39" s="202">
        <v>0</v>
      </c>
      <c r="J39" s="202">
        <v>0</v>
      </c>
      <c r="K39" s="202">
        <v>0</v>
      </c>
      <c r="L39" s="253"/>
      <c r="M39" s="254">
        <v>2019</v>
      </c>
      <c r="N39" s="254">
        <v>3740</v>
      </c>
      <c r="O39" s="255" t="s">
        <v>244</v>
      </c>
      <c r="P39" s="254">
        <v>410</v>
      </c>
      <c r="Q39" s="254">
        <v>221</v>
      </c>
      <c r="R39" s="255" t="s">
        <v>36</v>
      </c>
      <c r="S39" s="255" t="s">
        <v>197</v>
      </c>
      <c r="T39" s="350">
        <v>114223000</v>
      </c>
      <c r="U39" s="350">
        <v>208482000</v>
      </c>
      <c r="V39" s="350">
        <v>62608000</v>
      </c>
      <c r="W39" s="350">
        <v>1395000</v>
      </c>
      <c r="X39" s="350">
        <v>386708000</v>
      </c>
      <c r="AA39" s="272">
        <v>2019</v>
      </c>
      <c r="AB39" s="272">
        <v>1370</v>
      </c>
      <c r="AC39" s="273" t="s">
        <v>255</v>
      </c>
      <c r="AD39" s="272" t="s">
        <v>489</v>
      </c>
      <c r="AE39" s="272">
        <v>42</v>
      </c>
      <c r="AF39" s="274" t="s">
        <v>393</v>
      </c>
      <c r="AG39" s="272">
        <v>1026</v>
      </c>
      <c r="AH39" s="272">
        <v>51</v>
      </c>
      <c r="AI39" s="272">
        <v>1129</v>
      </c>
      <c r="AJ39" s="272">
        <v>26</v>
      </c>
      <c r="AK39" s="272">
        <v>124776</v>
      </c>
      <c r="AL39" s="352">
        <v>110.51904340124004</v>
      </c>
      <c r="AX39" s="254">
        <v>2019</v>
      </c>
      <c r="AY39" s="254">
        <v>3740</v>
      </c>
      <c r="AZ39" s="255" t="s">
        <v>244</v>
      </c>
      <c r="BA39" s="254">
        <v>410</v>
      </c>
      <c r="BB39" s="254">
        <v>308</v>
      </c>
      <c r="BC39" s="255" t="s">
        <v>555</v>
      </c>
      <c r="BD39" s="255" t="s">
        <v>560</v>
      </c>
      <c r="BE39" s="350">
        <v>0</v>
      </c>
      <c r="BF39" s="350">
        <v>0</v>
      </c>
      <c r="BG39" s="350">
        <v>9000</v>
      </c>
      <c r="BH39" s="350">
        <v>0</v>
      </c>
      <c r="BI39" s="350">
        <v>9000</v>
      </c>
      <c r="BK39" s="272">
        <v>2019</v>
      </c>
      <c r="BL39" s="272">
        <v>1370</v>
      </c>
      <c r="BM39" s="273" t="s">
        <v>255</v>
      </c>
      <c r="BN39" s="272" t="s">
        <v>588</v>
      </c>
      <c r="BO39" s="272">
        <v>65</v>
      </c>
      <c r="BP39" s="441" t="s">
        <v>595</v>
      </c>
      <c r="BQ39" s="272">
        <v>0</v>
      </c>
      <c r="BR39" s="272">
        <v>0</v>
      </c>
      <c r="BS39" s="272">
        <v>0</v>
      </c>
      <c r="BT39" s="272">
        <v>0</v>
      </c>
      <c r="BU39" s="272">
        <v>0</v>
      </c>
      <c r="BV39" s="272">
        <v>0</v>
      </c>
      <c r="BY39" t="str">
        <f t="shared" si="73"/>
        <v>S</v>
      </c>
      <c r="BZ39" s="362" t="s">
        <v>617</v>
      </c>
      <c r="CA39" s="362">
        <v>1</v>
      </c>
      <c r="CB39" s="362">
        <v>2</v>
      </c>
      <c r="CC39" s="362">
        <f t="shared" si="69"/>
        <v>1730</v>
      </c>
      <c r="CD39">
        <f t="shared" si="70"/>
        <v>865</v>
      </c>
      <c r="CE39" s="444">
        <v>865</v>
      </c>
      <c r="CM39" s="299">
        <v>2019</v>
      </c>
      <c r="CN39" s="299">
        <v>1370</v>
      </c>
      <c r="CO39" s="300" t="s">
        <v>255</v>
      </c>
      <c r="CP39" s="299">
        <v>755</v>
      </c>
      <c r="CQ39" s="299">
        <v>6</v>
      </c>
      <c r="CR39" s="294" t="s">
        <v>320</v>
      </c>
      <c r="CS39" s="294" t="s">
        <v>327</v>
      </c>
      <c r="CT39" s="294" t="s">
        <v>328</v>
      </c>
      <c r="CU39" s="301">
        <v>0</v>
      </c>
      <c r="DB39">
        <f t="shared" si="72"/>
        <v>1</v>
      </c>
      <c r="DC39" s="595" t="s">
        <v>806</v>
      </c>
      <c r="DD39" s="595" t="s">
        <v>807</v>
      </c>
      <c r="DE39" s="595" t="s">
        <v>687</v>
      </c>
      <c r="DF39" s="286">
        <v>1036</v>
      </c>
      <c r="DG39" s="286">
        <v>85180</v>
      </c>
      <c r="DH39" s="286">
        <v>5263056</v>
      </c>
      <c r="DI39" s="286">
        <v>3993731</v>
      </c>
      <c r="DJ39">
        <v>3</v>
      </c>
      <c r="DK39" s="643">
        <f t="shared" si="74"/>
        <v>679.18710494589243</v>
      </c>
      <c r="DL39" s="408">
        <f t="shared" si="75"/>
        <v>57853157.599291116</v>
      </c>
      <c r="DM39" s="286"/>
      <c r="DN39" s="286"/>
      <c r="EC39" s="289" t="s">
        <v>688</v>
      </c>
      <c r="ED39" s="296">
        <v>293496</v>
      </c>
      <c r="EE39" s="478">
        <v>1</v>
      </c>
      <c r="EF39" s="296">
        <v>293496</v>
      </c>
      <c r="EG39" s="477">
        <v>1.987832589432553</v>
      </c>
      <c r="EH39" s="594">
        <v>289924.91366809659</v>
      </c>
      <c r="EI39" s="286">
        <v>583420.91366809653</v>
      </c>
      <c r="EJ39" s="472">
        <f t="shared" si="76"/>
        <v>0.50306047164940593</v>
      </c>
      <c r="EK39" s="472">
        <f t="shared" si="77"/>
        <v>0.49693952835059407</v>
      </c>
      <c r="EL39" s="596">
        <v>1.5448868684323635E-2</v>
      </c>
      <c r="EM39" s="453">
        <v>28.583333333333332</v>
      </c>
      <c r="EN39" s="453">
        <v>111.5</v>
      </c>
      <c r="EO39" s="453">
        <v>57.666666666666664</v>
      </c>
      <c r="EP39" s="453">
        <v>18.8</v>
      </c>
      <c r="EQ39" s="453">
        <v>67.5</v>
      </c>
      <c r="ER39" s="453">
        <v>34.1</v>
      </c>
      <c r="ES39" s="453">
        <v>35</v>
      </c>
      <c r="ET39" s="453">
        <v>251.65</v>
      </c>
      <c r="EU39" s="453">
        <v>106.5</v>
      </c>
      <c r="EV39" s="453">
        <v>95.560433532313894</v>
      </c>
      <c r="EW39" s="453"/>
      <c r="FA39" s="714" t="s">
        <v>800</v>
      </c>
      <c r="FB39" s="794" t="s">
        <v>1599</v>
      </c>
      <c r="FC39" s="794" t="s">
        <v>1600</v>
      </c>
      <c r="FD39" s="794" t="s">
        <v>1601</v>
      </c>
      <c r="FE39" s="794" t="s">
        <v>1689</v>
      </c>
      <c r="FF39" s="795" t="s">
        <v>1690</v>
      </c>
      <c r="FH39">
        <v>14</v>
      </c>
      <c r="FI39" t="s">
        <v>1016</v>
      </c>
      <c r="FJ39" t="s">
        <v>1017</v>
      </c>
      <c r="FK39" t="s">
        <v>698</v>
      </c>
      <c r="FL39" s="286">
        <v>327216</v>
      </c>
      <c r="FM39" s="286">
        <v>33402990.000000004</v>
      </c>
      <c r="FN39" s="286">
        <v>333989899</v>
      </c>
      <c r="FO39" s="286">
        <v>173289210.00000003</v>
      </c>
      <c r="FP39">
        <v>12</v>
      </c>
      <c r="FQ39" s="925">
        <v>12.148631154247422</v>
      </c>
      <c r="FR39" s="926">
        <v>405800604.95901513</v>
      </c>
      <c r="FS39">
        <v>1</v>
      </c>
      <c r="FU39" s="2"/>
      <c r="FV39" s="788">
        <f>FM39/FL39</f>
        <v>102.08238594689747</v>
      </c>
    </row>
    <row r="40" spans="1:178" ht="16" customHeight="1">
      <c r="A40">
        <v>2019</v>
      </c>
      <c r="B40">
        <v>3050</v>
      </c>
      <c r="C40" t="s">
        <v>254</v>
      </c>
      <c r="D40" t="s">
        <v>245</v>
      </c>
      <c r="E40" s="203">
        <v>91</v>
      </c>
      <c r="F40" s="203" t="s">
        <v>246</v>
      </c>
      <c r="G40" s="203" t="s">
        <v>247</v>
      </c>
      <c r="H40" s="203" t="s">
        <v>248</v>
      </c>
      <c r="I40" s="202">
        <v>4</v>
      </c>
      <c r="J40" s="202">
        <v>855</v>
      </c>
      <c r="K40" s="202">
        <v>3812000</v>
      </c>
      <c r="L40" s="253"/>
      <c r="M40" s="254">
        <v>2019</v>
      </c>
      <c r="N40" s="254">
        <v>3740</v>
      </c>
      <c r="O40" s="255" t="s">
        <v>244</v>
      </c>
      <c r="P40" s="254">
        <v>410</v>
      </c>
      <c r="Q40" s="254">
        <v>222</v>
      </c>
      <c r="R40" s="255" t="s">
        <v>36</v>
      </c>
      <c r="S40" s="255" t="s">
        <v>198</v>
      </c>
      <c r="T40" s="350">
        <v>0</v>
      </c>
      <c r="U40" s="350">
        <v>1351000</v>
      </c>
      <c r="V40" s="350">
        <v>4442000</v>
      </c>
      <c r="W40" s="350">
        <v>0</v>
      </c>
      <c r="X40" s="350">
        <v>5793000</v>
      </c>
      <c r="AA40" s="272">
        <v>2019</v>
      </c>
      <c r="AB40" s="272">
        <v>1370</v>
      </c>
      <c r="AC40" s="273" t="s">
        <v>255</v>
      </c>
      <c r="AD40" s="272" t="s">
        <v>489</v>
      </c>
      <c r="AE40" s="272">
        <v>43</v>
      </c>
      <c r="AF40" s="274" t="s">
        <v>394</v>
      </c>
      <c r="AG40" s="272">
        <v>1471</v>
      </c>
      <c r="AH40" s="272">
        <v>1869</v>
      </c>
      <c r="AI40" s="272">
        <v>1464</v>
      </c>
      <c r="AJ40" s="272">
        <v>1538</v>
      </c>
      <c r="AK40" s="272">
        <v>277104</v>
      </c>
      <c r="AL40" s="352">
        <v>189.27868852459017</v>
      </c>
      <c r="AX40" s="254">
        <v>2019</v>
      </c>
      <c r="AY40" s="254">
        <v>3740</v>
      </c>
      <c r="AZ40" s="255" t="s">
        <v>244</v>
      </c>
      <c r="BA40" s="254">
        <v>410</v>
      </c>
      <c r="BB40" s="254">
        <v>309</v>
      </c>
      <c r="BC40" s="255" t="s">
        <v>555</v>
      </c>
      <c r="BD40" s="255" t="s">
        <v>200</v>
      </c>
      <c r="BE40" s="350">
        <v>0</v>
      </c>
      <c r="BF40" s="350">
        <v>0</v>
      </c>
      <c r="BG40" s="350">
        <v>0</v>
      </c>
      <c r="BH40" s="350">
        <v>100000</v>
      </c>
      <c r="BI40" s="350">
        <v>100000</v>
      </c>
      <c r="BK40" s="272">
        <v>2019</v>
      </c>
      <c r="BL40" s="272">
        <v>1370</v>
      </c>
      <c r="BM40" s="273" t="s">
        <v>255</v>
      </c>
      <c r="BN40" s="272" t="s">
        <v>588</v>
      </c>
      <c r="BO40" s="272">
        <v>66</v>
      </c>
      <c r="BP40" s="441" t="s">
        <v>596</v>
      </c>
      <c r="BQ40" s="272">
        <v>0</v>
      </c>
      <c r="BR40" s="272">
        <v>0</v>
      </c>
      <c r="BS40" s="272">
        <v>0</v>
      </c>
      <c r="BT40" s="272">
        <v>0</v>
      </c>
      <c r="BU40" s="272">
        <v>0</v>
      </c>
      <c r="BV40" s="272">
        <v>0</v>
      </c>
      <c r="BY40" t="str">
        <f t="shared" si="73"/>
        <v/>
      </c>
      <c r="BZ40" s="362"/>
      <c r="CA40" s="362"/>
      <c r="CB40" s="362"/>
      <c r="CC40" s="362">
        <f t="shared" si="69"/>
        <v>0</v>
      </c>
      <c r="CD40">
        <f t="shared" si="70"/>
        <v>0</v>
      </c>
      <c r="CE40" s="444"/>
      <c r="CM40" s="299">
        <v>2019</v>
      </c>
      <c r="CN40" s="299">
        <v>1370</v>
      </c>
      <c r="CO40" s="300" t="s">
        <v>255</v>
      </c>
      <c r="CP40" s="299">
        <v>755</v>
      </c>
      <c r="CQ40" s="299">
        <v>7</v>
      </c>
      <c r="CR40" s="294" t="s">
        <v>320</v>
      </c>
      <c r="CS40" s="294" t="s">
        <v>324</v>
      </c>
      <c r="CT40" s="294" t="s">
        <v>329</v>
      </c>
      <c r="CU40" s="301">
        <v>17883858</v>
      </c>
      <c r="DB40">
        <f t="shared" si="72"/>
        <v>1</v>
      </c>
      <c r="DC40" s="595" t="s">
        <v>806</v>
      </c>
      <c r="DD40" s="595" t="s">
        <v>807</v>
      </c>
      <c r="DE40" s="595" t="s">
        <v>689</v>
      </c>
      <c r="DF40" s="286">
        <v>10892</v>
      </c>
      <c r="DG40" s="286">
        <v>1018183</v>
      </c>
      <c r="DH40" s="286">
        <v>64309724</v>
      </c>
      <c r="DI40" s="286">
        <v>38913807</v>
      </c>
      <c r="DJ40">
        <v>3</v>
      </c>
      <c r="DK40" s="643">
        <f t="shared" si="74"/>
        <v>679.18710494589243</v>
      </c>
      <c r="DL40" s="408">
        <f t="shared" si="75"/>
        <v>691536764.07512355</v>
      </c>
      <c r="DM40" s="286"/>
      <c r="DN40" s="286"/>
      <c r="EC40" s="289" t="s">
        <v>691</v>
      </c>
      <c r="ED40" s="296">
        <v>758141</v>
      </c>
      <c r="EE40" s="478">
        <v>1</v>
      </c>
      <c r="EF40" s="296">
        <v>758141</v>
      </c>
      <c r="EG40" s="477">
        <v>2.0178512661050467</v>
      </c>
      <c r="EH40" s="594">
        <v>771674.77673614619</v>
      </c>
      <c r="EI40" s="286">
        <v>1529815.7767361463</v>
      </c>
      <c r="EJ40" s="472">
        <f t="shared" si="76"/>
        <v>0.49557666454289662</v>
      </c>
      <c r="EK40" s="472">
        <f t="shared" si="77"/>
        <v>0.50442333545710338</v>
      </c>
      <c r="EL40" s="596">
        <v>4.0509214689291098E-2</v>
      </c>
      <c r="EM40" s="453">
        <v>32.333333333333336</v>
      </c>
      <c r="EN40" s="453">
        <v>75.583333333333329</v>
      </c>
      <c r="EO40" s="453">
        <v>51</v>
      </c>
      <c r="EP40" s="453">
        <v>17</v>
      </c>
      <c r="EQ40" s="453">
        <v>45.9</v>
      </c>
      <c r="ER40" s="453">
        <v>28.4</v>
      </c>
      <c r="ES40" s="453">
        <v>70</v>
      </c>
      <c r="ET40" s="453">
        <v>122.5</v>
      </c>
      <c r="EU40" s="453">
        <v>112.45</v>
      </c>
      <c r="EV40" s="453">
        <v>101.80793282516049</v>
      </c>
      <c r="EW40" s="453"/>
      <c r="FA40" s="687" t="s">
        <v>690</v>
      </c>
      <c r="FB40" s="606">
        <f>FC40/$EO$57</f>
        <v>105.16240797025155</v>
      </c>
      <c r="FC40" s="606">
        <f>EL20</f>
        <v>6300.980944217572</v>
      </c>
      <c r="FD40" s="606">
        <f>FB40*FV10</f>
        <v>11031.241202901092</v>
      </c>
      <c r="FE40" s="606">
        <f>FB38</f>
        <v>105.16240797025155</v>
      </c>
      <c r="FF40" s="676">
        <f>FD40*EN26</f>
        <v>497.35760342863404</v>
      </c>
      <c r="FH40">
        <v>14</v>
      </c>
      <c r="FI40" t="s">
        <v>1075</v>
      </c>
      <c r="FJ40" t="s">
        <v>1076</v>
      </c>
      <c r="FK40" t="s">
        <v>698</v>
      </c>
      <c r="FL40" s="286">
        <v>18352</v>
      </c>
      <c r="FM40" s="286">
        <v>845260</v>
      </c>
      <c r="FN40" s="286">
        <v>17648048.000000004</v>
      </c>
      <c r="FO40" s="286">
        <v>9457862.0000000019</v>
      </c>
      <c r="FP40">
        <v>12</v>
      </c>
      <c r="FQ40" s="925">
        <v>12.148631154247422</v>
      </c>
      <c r="FR40" s="926">
        <v>10268751.969439175</v>
      </c>
      <c r="FS40">
        <v>1</v>
      </c>
      <c r="FU40" s="2"/>
      <c r="FV40" s="788">
        <f>FM40/FL40</f>
        <v>46.058195292066259</v>
      </c>
    </row>
    <row r="41" spans="1:178" ht="16" customHeight="1">
      <c r="A41">
        <v>2019</v>
      </c>
      <c r="B41">
        <v>3050</v>
      </c>
      <c r="C41" t="s">
        <v>254</v>
      </c>
      <c r="D41" t="s">
        <v>245</v>
      </c>
      <c r="E41" s="203">
        <v>92</v>
      </c>
      <c r="F41" s="203" t="s">
        <v>246</v>
      </c>
      <c r="G41" s="203" t="s">
        <v>247</v>
      </c>
      <c r="H41" s="204" t="s">
        <v>249</v>
      </c>
      <c r="I41" s="202">
        <v>0</v>
      </c>
      <c r="J41" s="202">
        <v>0</v>
      </c>
      <c r="K41" s="202">
        <v>0</v>
      </c>
      <c r="L41" s="253"/>
      <c r="M41" s="254">
        <v>2019</v>
      </c>
      <c r="N41" s="254">
        <v>3740</v>
      </c>
      <c r="O41" s="255" t="s">
        <v>244</v>
      </c>
      <c r="P41" s="254">
        <v>410</v>
      </c>
      <c r="Q41" s="254">
        <v>223</v>
      </c>
      <c r="R41" s="255" t="s">
        <v>36</v>
      </c>
      <c r="S41" s="255" t="s">
        <v>199</v>
      </c>
      <c r="T41" s="350">
        <v>0</v>
      </c>
      <c r="U41" s="350">
        <v>0</v>
      </c>
      <c r="V41" s="350">
        <v>0</v>
      </c>
      <c r="W41" s="350">
        <v>0</v>
      </c>
      <c r="X41" s="350">
        <v>0</v>
      </c>
      <c r="AA41" s="272">
        <v>2019</v>
      </c>
      <c r="AB41" s="272">
        <v>1370</v>
      </c>
      <c r="AC41" s="273" t="s">
        <v>255</v>
      </c>
      <c r="AD41" s="272" t="s">
        <v>489</v>
      </c>
      <c r="AE41" s="272">
        <v>44</v>
      </c>
      <c r="AF41" s="274" t="s">
        <v>395</v>
      </c>
      <c r="AG41" s="272">
        <v>0</v>
      </c>
      <c r="AH41" s="272">
        <v>0</v>
      </c>
      <c r="AI41" s="272">
        <v>0</v>
      </c>
      <c r="AJ41" s="272">
        <v>0</v>
      </c>
      <c r="AK41" s="272">
        <v>0</v>
      </c>
      <c r="AL41" s="352">
        <v>0</v>
      </c>
      <c r="AX41" s="254">
        <v>2019</v>
      </c>
      <c r="AY41" s="254">
        <v>3740</v>
      </c>
      <c r="AZ41" s="255" t="s">
        <v>244</v>
      </c>
      <c r="BA41" s="254">
        <v>410</v>
      </c>
      <c r="BB41" s="254">
        <v>310</v>
      </c>
      <c r="BC41" s="255" t="s">
        <v>555</v>
      </c>
      <c r="BD41" s="255" t="s">
        <v>201</v>
      </c>
      <c r="BE41" s="350">
        <v>0</v>
      </c>
      <c r="BF41" s="350">
        <v>0</v>
      </c>
      <c r="BG41" s="350">
        <v>0</v>
      </c>
      <c r="BH41" s="350">
        <v>16000</v>
      </c>
      <c r="BI41" s="350">
        <v>16000</v>
      </c>
      <c r="BK41" s="272">
        <v>2019</v>
      </c>
      <c r="BL41" s="272">
        <v>1370</v>
      </c>
      <c r="BM41" s="273" t="s">
        <v>255</v>
      </c>
      <c r="BN41" s="272" t="s">
        <v>588</v>
      </c>
      <c r="BO41" s="272">
        <v>67</v>
      </c>
      <c r="BP41" s="441" t="s">
        <v>597</v>
      </c>
      <c r="BQ41" s="272">
        <v>0</v>
      </c>
      <c r="BR41" s="272">
        <v>0</v>
      </c>
      <c r="BS41" s="272">
        <v>0</v>
      </c>
      <c r="BT41" s="272">
        <v>0</v>
      </c>
      <c r="BU41" s="272">
        <v>0</v>
      </c>
      <c r="BV41" s="272">
        <v>0</v>
      </c>
      <c r="BY41" t="str">
        <f t="shared" si="73"/>
        <v/>
      </c>
      <c r="BZ41" s="362"/>
      <c r="CA41" s="362"/>
      <c r="CB41" s="362"/>
      <c r="CC41" s="362">
        <f t="shared" si="69"/>
        <v>0</v>
      </c>
      <c r="CD41">
        <f t="shared" si="70"/>
        <v>0</v>
      </c>
      <c r="CE41" s="444"/>
      <c r="CM41" s="299">
        <v>2019</v>
      </c>
      <c r="CN41" s="299">
        <v>1370</v>
      </c>
      <c r="CO41" s="300" t="s">
        <v>255</v>
      </c>
      <c r="CP41" s="299">
        <v>755</v>
      </c>
      <c r="CQ41" s="299">
        <v>8</v>
      </c>
      <c r="CR41" s="294" t="s">
        <v>330</v>
      </c>
      <c r="CS41" s="294" t="s">
        <v>331</v>
      </c>
      <c r="CT41" s="294" t="s">
        <v>322</v>
      </c>
      <c r="CU41" s="301">
        <v>6111227</v>
      </c>
      <c r="DB41">
        <f t="shared" si="72"/>
        <v>1</v>
      </c>
      <c r="DC41" s="595" t="s">
        <v>905</v>
      </c>
      <c r="DD41" s="595" t="s">
        <v>906</v>
      </c>
      <c r="DE41" s="595" t="s">
        <v>690</v>
      </c>
      <c r="DF41" s="286">
        <v>4400</v>
      </c>
      <c r="DG41" s="286">
        <v>405120</v>
      </c>
      <c r="DH41" s="286">
        <v>17721360</v>
      </c>
      <c r="DI41" s="286">
        <v>9584990.0000000019</v>
      </c>
      <c r="DJ41">
        <v>3</v>
      </c>
      <c r="DK41" s="643">
        <f t="shared" si="74"/>
        <v>679.18710494589243</v>
      </c>
      <c r="DL41" s="408">
        <f t="shared" si="75"/>
        <v>275152279.95567995</v>
      </c>
      <c r="DM41" s="286"/>
      <c r="DN41" s="286"/>
      <c r="EC41" s="289" t="s">
        <v>697</v>
      </c>
      <c r="ED41" s="296">
        <v>2893814</v>
      </c>
      <c r="EE41" s="478">
        <v>1</v>
      </c>
      <c r="EF41" s="296">
        <v>2893814</v>
      </c>
      <c r="EG41" s="477">
        <v>2.0160338160588367</v>
      </c>
      <c r="EH41" s="594">
        <v>2940212.8813844863</v>
      </c>
      <c r="EI41" s="286">
        <v>5834026.8813844863</v>
      </c>
      <c r="EJ41" s="472">
        <f t="shared" si="76"/>
        <v>0.49602342581480569</v>
      </c>
      <c r="EK41" s="472">
        <f t="shared" si="77"/>
        <v>0.50397657418519426</v>
      </c>
      <c r="EL41" s="596">
        <v>0.15448386075956955</v>
      </c>
      <c r="EM41" s="453">
        <v>28.583333333333332</v>
      </c>
      <c r="EN41" s="453">
        <v>111.5</v>
      </c>
      <c r="EO41" s="453">
        <v>53.083333333333336</v>
      </c>
      <c r="EP41" s="453">
        <v>17</v>
      </c>
      <c r="EQ41" s="453">
        <v>66.25</v>
      </c>
      <c r="ER41" s="453">
        <v>21.9</v>
      </c>
      <c r="ES41" s="453">
        <v>78.8</v>
      </c>
      <c r="ET41" s="453">
        <v>248.75</v>
      </c>
      <c r="EU41" s="453">
        <v>121.15</v>
      </c>
      <c r="EV41" s="453">
        <v>117.38725605723107</v>
      </c>
      <c r="EW41" s="453"/>
      <c r="FA41" s="544" t="s">
        <v>1799</v>
      </c>
      <c r="FB41" s="715">
        <f>FB43</f>
        <v>105.16240797025155</v>
      </c>
      <c r="FC41" s="4"/>
      <c r="FD41" s="4"/>
      <c r="FE41" s="4"/>
      <c r="FF41" s="659" t="s">
        <v>1691</v>
      </c>
      <c r="FH41">
        <v>11</v>
      </c>
      <c r="FI41" t="s">
        <v>1077</v>
      </c>
      <c r="FJ41" t="s">
        <v>1078</v>
      </c>
      <c r="FK41" t="s">
        <v>698</v>
      </c>
      <c r="FL41" s="286">
        <v>1745226</v>
      </c>
      <c r="FM41" s="286">
        <v>203173169.99999997</v>
      </c>
      <c r="FN41" s="286">
        <v>2906974131</v>
      </c>
      <c r="FO41" s="286">
        <v>2036890130</v>
      </c>
      <c r="FP41">
        <v>15</v>
      </c>
      <c r="FQ41" s="925">
        <v>43.273741284778055</v>
      </c>
      <c r="FR41" s="926">
        <v>8792063194.5882282</v>
      </c>
      <c r="FS41">
        <v>1</v>
      </c>
      <c r="FU41" s="2"/>
      <c r="FV41" s="788">
        <f>FM41/FL41</f>
        <v>116.41653860302331</v>
      </c>
    </row>
    <row r="42" spans="1:178" ht="16" customHeight="1">
      <c r="A42">
        <v>2019</v>
      </c>
      <c r="B42">
        <v>3050</v>
      </c>
      <c r="C42" t="s">
        <v>254</v>
      </c>
      <c r="D42" t="s">
        <v>245</v>
      </c>
      <c r="E42" s="203">
        <v>93</v>
      </c>
      <c r="F42" s="203" t="s">
        <v>250</v>
      </c>
      <c r="G42" s="203" t="s">
        <v>247</v>
      </c>
      <c r="H42" s="203" t="s">
        <v>248</v>
      </c>
      <c r="I42" s="202">
        <v>1826</v>
      </c>
      <c r="J42" s="202">
        <v>65769</v>
      </c>
      <c r="K42" s="202">
        <v>188747000</v>
      </c>
      <c r="L42" s="253"/>
      <c r="M42" s="254">
        <v>2019</v>
      </c>
      <c r="N42" s="254">
        <v>3740</v>
      </c>
      <c r="O42" s="255" t="s">
        <v>244</v>
      </c>
      <c r="P42" s="254">
        <v>410</v>
      </c>
      <c r="Q42" s="254">
        <v>224</v>
      </c>
      <c r="R42" s="255" t="s">
        <v>36</v>
      </c>
      <c r="S42" s="255" t="s">
        <v>200</v>
      </c>
      <c r="T42" s="350">
        <v>0</v>
      </c>
      <c r="U42" s="350">
        <v>0</v>
      </c>
      <c r="V42" s="350">
        <v>0</v>
      </c>
      <c r="W42" s="350">
        <v>60513000</v>
      </c>
      <c r="X42" s="350">
        <v>60513000</v>
      </c>
      <c r="AA42" s="272">
        <v>2019</v>
      </c>
      <c r="AB42" s="272">
        <v>1370</v>
      </c>
      <c r="AC42" s="273" t="s">
        <v>255</v>
      </c>
      <c r="AD42" s="272" t="s">
        <v>489</v>
      </c>
      <c r="AE42" s="272">
        <v>45</v>
      </c>
      <c r="AF42" s="274" t="s">
        <v>396</v>
      </c>
      <c r="AG42" s="272">
        <v>0</v>
      </c>
      <c r="AH42" s="272">
        <v>0</v>
      </c>
      <c r="AI42" s="272">
        <v>0</v>
      </c>
      <c r="AJ42" s="272">
        <v>0</v>
      </c>
      <c r="AK42" s="272">
        <v>0</v>
      </c>
      <c r="AL42" s="352">
        <v>0</v>
      </c>
      <c r="AX42" s="254">
        <v>2019</v>
      </c>
      <c r="AY42" s="254">
        <v>3740</v>
      </c>
      <c r="AZ42" s="255" t="s">
        <v>244</v>
      </c>
      <c r="BA42" s="254">
        <v>410</v>
      </c>
      <c r="BB42" s="254">
        <v>311</v>
      </c>
      <c r="BC42" s="255" t="s">
        <v>555</v>
      </c>
      <c r="BD42" s="255" t="s">
        <v>137</v>
      </c>
      <c r="BE42" s="350">
        <v>0</v>
      </c>
      <c r="BF42" s="350">
        <v>0</v>
      </c>
      <c r="BG42" s="350">
        <v>115068000</v>
      </c>
      <c r="BH42" s="350">
        <v>0</v>
      </c>
      <c r="BI42" s="350">
        <v>115068000</v>
      </c>
      <c r="BK42" s="272">
        <v>2019</v>
      </c>
      <c r="BL42" s="272">
        <v>1370</v>
      </c>
      <c r="BM42" s="273" t="s">
        <v>255</v>
      </c>
      <c r="BN42" s="272" t="s">
        <v>588</v>
      </c>
      <c r="BO42" s="272">
        <v>68</v>
      </c>
      <c r="BP42" s="441" t="s">
        <v>598</v>
      </c>
      <c r="BQ42" s="272">
        <v>0</v>
      </c>
      <c r="BR42" s="272">
        <v>0</v>
      </c>
      <c r="BS42" s="272">
        <v>0</v>
      </c>
      <c r="BT42" s="272">
        <v>0</v>
      </c>
      <c r="BU42" s="272">
        <v>0</v>
      </c>
      <c r="BV42" s="272">
        <v>0</v>
      </c>
      <c r="BY42" t="str">
        <f t="shared" si="73"/>
        <v/>
      </c>
      <c r="BZ42" s="362"/>
      <c r="CA42" s="362"/>
      <c r="CB42" s="362"/>
      <c r="CC42" s="362">
        <f t="shared" si="69"/>
        <v>0</v>
      </c>
      <c r="CD42">
        <f t="shared" si="70"/>
        <v>0</v>
      </c>
      <c r="CE42" s="444"/>
      <c r="CM42" s="299">
        <v>2019</v>
      </c>
      <c r="CN42" s="299">
        <v>1370</v>
      </c>
      <c r="CO42" s="300" t="s">
        <v>255</v>
      </c>
      <c r="CP42" s="299">
        <v>755</v>
      </c>
      <c r="CQ42" s="299">
        <v>9</v>
      </c>
      <c r="CR42" s="294" t="s">
        <v>330</v>
      </c>
      <c r="CS42" s="294" t="s">
        <v>331</v>
      </c>
      <c r="CT42" s="294" t="s">
        <v>323</v>
      </c>
      <c r="CU42" s="301">
        <v>6869281</v>
      </c>
      <c r="DB42">
        <f t="shared" si="72"/>
        <v>1</v>
      </c>
      <c r="DC42" s="595" t="s">
        <v>907</v>
      </c>
      <c r="DD42" s="595" t="s">
        <v>908</v>
      </c>
      <c r="DE42" s="595" t="s">
        <v>690</v>
      </c>
      <c r="DF42" s="286">
        <v>244857</v>
      </c>
      <c r="DG42" s="286">
        <v>25749095</v>
      </c>
      <c r="DH42" s="286">
        <v>935517350.00000012</v>
      </c>
      <c r="DI42" s="286">
        <v>497490199</v>
      </c>
      <c r="DJ42">
        <v>3</v>
      </c>
      <c r="DK42" s="643">
        <f t="shared" si="74"/>
        <v>679.18710494589243</v>
      </c>
      <c r="DL42" s="408">
        <f t="shared" si="75"/>
        <v>17488453288.026752</v>
      </c>
      <c r="DM42" s="286"/>
      <c r="DN42" s="286"/>
      <c r="EC42" s="289" t="s">
        <v>698</v>
      </c>
      <c r="ED42" s="296">
        <v>2187568</v>
      </c>
      <c r="EE42" s="478">
        <v>1</v>
      </c>
      <c r="EF42" s="296">
        <v>2187568</v>
      </c>
      <c r="EG42" s="477">
        <v>2.0160338160588367</v>
      </c>
      <c r="EH42" s="594">
        <v>2222643.0629281974</v>
      </c>
      <c r="EI42" s="286">
        <v>4410211.0629281979</v>
      </c>
      <c r="EJ42" s="472">
        <f t="shared" si="76"/>
        <v>0.49602342581480563</v>
      </c>
      <c r="EK42" s="472">
        <f t="shared" si="77"/>
        <v>0.50397657418519437</v>
      </c>
      <c r="EL42" s="596">
        <v>0.1167815036882433</v>
      </c>
      <c r="EM42" s="453">
        <v>24</v>
      </c>
      <c r="EN42" s="453">
        <v>166.58333333333334</v>
      </c>
      <c r="EO42" s="453">
        <v>53.083333333333336</v>
      </c>
      <c r="EP42" s="453">
        <v>16.5</v>
      </c>
      <c r="EQ42" s="453">
        <v>79.8</v>
      </c>
      <c r="ER42" s="453">
        <v>24.8</v>
      </c>
      <c r="ES42" s="453">
        <v>69.5</v>
      </c>
      <c r="ET42" s="453">
        <v>340.2</v>
      </c>
      <c r="EU42" s="453">
        <v>118.15</v>
      </c>
      <c r="EV42" s="453">
        <v>112.46038248868147</v>
      </c>
      <c r="EW42" s="453"/>
      <c r="FA42" s="714" t="s">
        <v>800</v>
      </c>
      <c r="FB42" s="794" t="s">
        <v>1599</v>
      </c>
      <c r="FC42" s="794" t="s">
        <v>1600</v>
      </c>
      <c r="FD42" s="794" t="s">
        <v>1601</v>
      </c>
      <c r="FE42" s="794" t="s">
        <v>1689</v>
      </c>
      <c r="FF42" s="795" t="s">
        <v>1690</v>
      </c>
      <c r="FL42" s="286">
        <f>SUM(FL39:FL41)</f>
        <v>2090794</v>
      </c>
      <c r="FM42" s="286">
        <f>SUM(FM39:FM41)</f>
        <v>237421419.99999997</v>
      </c>
      <c r="FQ42" s="643">
        <f>FR42/FM42</f>
        <v>38.78391659655933</v>
      </c>
      <c r="FR42" s="408">
        <f>SUM(FR39:FR41)</f>
        <v>9208132551.5166817</v>
      </c>
      <c r="FT42" s="927">
        <f>-1*(PMT($EA$23,$EA$24,FQ42,$EA$25*FQ42)/(365*24))</f>
        <v>5.0241996065953799E-3</v>
      </c>
      <c r="FU42" s="790">
        <f>FT42*FV42</f>
        <v>0.57052612785444978</v>
      </c>
      <c r="FV42" s="788">
        <f>FM42/FL42</f>
        <v>113.55562527920014</v>
      </c>
    </row>
    <row r="43" spans="1:178" ht="16" customHeight="1">
      <c r="A43">
        <v>2019</v>
      </c>
      <c r="B43">
        <v>3050</v>
      </c>
      <c r="C43" t="s">
        <v>254</v>
      </c>
      <c r="D43" t="s">
        <v>245</v>
      </c>
      <c r="E43" s="203">
        <v>94</v>
      </c>
      <c r="F43" s="203" t="s">
        <v>250</v>
      </c>
      <c r="G43" s="203" t="s">
        <v>247</v>
      </c>
      <c r="H43" s="204" t="s">
        <v>249</v>
      </c>
      <c r="I43" s="202">
        <v>0</v>
      </c>
      <c r="J43" s="202">
        <v>0</v>
      </c>
      <c r="K43" s="202">
        <v>0</v>
      </c>
      <c r="L43" s="253"/>
      <c r="M43" s="254">
        <v>2019</v>
      </c>
      <c r="N43" s="254">
        <v>3740</v>
      </c>
      <c r="O43" s="255" t="s">
        <v>244</v>
      </c>
      <c r="P43" s="254">
        <v>410</v>
      </c>
      <c r="Q43" s="254">
        <v>225</v>
      </c>
      <c r="R43" s="255" t="s">
        <v>36</v>
      </c>
      <c r="S43" s="255" t="s">
        <v>201</v>
      </c>
      <c r="T43" s="350">
        <v>0</v>
      </c>
      <c r="U43" s="350">
        <v>0</v>
      </c>
      <c r="V43" s="350">
        <v>0</v>
      </c>
      <c r="W43" s="350">
        <v>55560000</v>
      </c>
      <c r="X43" s="350">
        <v>55560000</v>
      </c>
      <c r="AA43" s="272">
        <v>2019</v>
      </c>
      <c r="AB43" s="272">
        <v>1370</v>
      </c>
      <c r="AC43" s="273" t="s">
        <v>255</v>
      </c>
      <c r="AD43" s="272" t="s">
        <v>489</v>
      </c>
      <c r="AE43" s="272">
        <v>46</v>
      </c>
      <c r="AF43" s="274" t="s">
        <v>397</v>
      </c>
      <c r="AG43" s="272">
        <v>236</v>
      </c>
      <c r="AH43" s="272">
        <v>0</v>
      </c>
      <c r="AI43" s="272">
        <v>237</v>
      </c>
      <c r="AJ43" s="272">
        <v>0</v>
      </c>
      <c r="AK43" s="272">
        <v>45382</v>
      </c>
      <c r="AL43" s="352">
        <v>191.48523206751054</v>
      </c>
      <c r="AX43" s="254">
        <v>2019</v>
      </c>
      <c r="AY43" s="254">
        <v>3740</v>
      </c>
      <c r="AZ43" s="255" t="s">
        <v>244</v>
      </c>
      <c r="BA43" s="254">
        <v>410</v>
      </c>
      <c r="BB43" s="254">
        <v>312</v>
      </c>
      <c r="BC43" s="255" t="s">
        <v>555</v>
      </c>
      <c r="BD43" s="255" t="s">
        <v>138</v>
      </c>
      <c r="BE43" s="350">
        <v>0</v>
      </c>
      <c r="BF43" s="350">
        <v>0</v>
      </c>
      <c r="BG43" s="350">
        <v>0</v>
      </c>
      <c r="BH43" s="350">
        <v>0</v>
      </c>
      <c r="BI43" s="350">
        <v>0</v>
      </c>
      <c r="BK43" s="272">
        <v>2019</v>
      </c>
      <c r="BL43" s="272">
        <v>1370</v>
      </c>
      <c r="BM43" s="273" t="s">
        <v>255</v>
      </c>
      <c r="BN43" s="272" t="s">
        <v>588</v>
      </c>
      <c r="BO43" s="272">
        <v>69</v>
      </c>
      <c r="BP43" s="441" t="s">
        <v>599</v>
      </c>
      <c r="BQ43" s="272">
        <v>0</v>
      </c>
      <c r="BR43" s="272">
        <v>0</v>
      </c>
      <c r="BS43" s="272">
        <v>0</v>
      </c>
      <c r="BT43" s="272">
        <v>0</v>
      </c>
      <c r="BU43" s="272">
        <v>0</v>
      </c>
      <c r="BV43" s="272">
        <v>0</v>
      </c>
      <c r="BY43" t="str">
        <f t="shared" si="73"/>
        <v>S</v>
      </c>
      <c r="BZ43" s="362" t="s">
        <v>618</v>
      </c>
      <c r="CA43" s="362">
        <v>3</v>
      </c>
      <c r="CB43" s="362">
        <v>2</v>
      </c>
      <c r="CC43" s="362">
        <f t="shared" si="69"/>
        <v>1782</v>
      </c>
      <c r="CD43">
        <f t="shared" si="70"/>
        <v>891</v>
      </c>
      <c r="CE43" s="444">
        <v>297</v>
      </c>
      <c r="CM43" s="299">
        <v>2019</v>
      </c>
      <c r="CN43" s="299">
        <v>1370</v>
      </c>
      <c r="CO43" s="300" t="s">
        <v>255</v>
      </c>
      <c r="CP43" s="299">
        <v>755</v>
      </c>
      <c r="CQ43" s="299">
        <v>10</v>
      </c>
      <c r="CR43" s="294" t="s">
        <v>330</v>
      </c>
      <c r="CS43" s="294" t="s">
        <v>332</v>
      </c>
      <c r="CT43" s="294" t="s">
        <v>325</v>
      </c>
      <c r="CU43" s="301">
        <v>25250816</v>
      </c>
      <c r="DB43">
        <f t="shared" si="72"/>
        <v>1</v>
      </c>
      <c r="DC43" s="595" t="s">
        <v>909</v>
      </c>
      <c r="DD43" s="595" t="s">
        <v>910</v>
      </c>
      <c r="DE43" s="595" t="s">
        <v>690</v>
      </c>
      <c r="DF43" s="286">
        <v>7537</v>
      </c>
      <c r="DG43" s="286">
        <v>653733</v>
      </c>
      <c r="DH43" s="286">
        <v>19821737.999999996</v>
      </c>
      <c r="DI43" s="286">
        <v>12743182</v>
      </c>
      <c r="DJ43">
        <v>3</v>
      </c>
      <c r="DK43" s="643">
        <f t="shared" si="74"/>
        <v>679.18710494589243</v>
      </c>
      <c r="DL43" s="408">
        <f t="shared" si="75"/>
        <v>444007023.67759311</v>
      </c>
      <c r="DM43" s="286"/>
      <c r="DN43" s="286"/>
      <c r="EC43" s="289" t="s">
        <v>701</v>
      </c>
      <c r="ED43" s="296">
        <v>10888</v>
      </c>
      <c r="EE43" s="478">
        <v>1</v>
      </c>
      <c r="EF43" s="296">
        <v>10888</v>
      </c>
      <c r="EG43" s="477">
        <v>1.3469322412893829</v>
      </c>
      <c r="EH43" s="594">
        <v>3777.3982431588015</v>
      </c>
      <c r="EI43" s="286">
        <v>14665.398243158801</v>
      </c>
      <c r="EJ43" s="472">
        <f t="shared" si="76"/>
        <v>0.74242784406342988</v>
      </c>
      <c r="EK43" s="472">
        <f t="shared" si="77"/>
        <v>0.25757215593657012</v>
      </c>
      <c r="EL43" s="596">
        <v>3.8833680170533138E-4</v>
      </c>
      <c r="EM43" s="453">
        <v>45.833333333333336</v>
      </c>
      <c r="EN43" s="453">
        <v>264.66666666666669</v>
      </c>
      <c r="EO43" s="453">
        <v>87.75</v>
      </c>
      <c r="EP43" s="453">
        <v>22.4</v>
      </c>
      <c r="EQ43" s="453">
        <v>399.6</v>
      </c>
      <c r="ER43" s="453">
        <v>32.299999999999997</v>
      </c>
      <c r="ES43" s="453">
        <v>23.9</v>
      </c>
      <c r="ET43" s="453">
        <v>375</v>
      </c>
      <c r="EU43" s="453">
        <v>111.9</v>
      </c>
      <c r="EV43" s="453">
        <v>98.208302718589266</v>
      </c>
      <c r="EW43" s="453"/>
      <c r="FA43" s="687" t="s">
        <v>690</v>
      </c>
      <c r="FB43" s="606">
        <f>FC43/$EO$57</f>
        <v>105.16240797025155</v>
      </c>
      <c r="FC43" s="606">
        <f>EL20</f>
        <v>6300.980944217572</v>
      </c>
      <c r="FD43" s="606">
        <f>FB43*FV7</f>
        <v>10301.468557293718</v>
      </c>
      <c r="FE43" s="606">
        <f>FB43</f>
        <v>105.16240797025155</v>
      </c>
      <c r="FF43" s="676">
        <f>FD43*EN30</f>
        <v>497.12311419973469</v>
      </c>
      <c r="FI43" s="2" t="s">
        <v>1208</v>
      </c>
      <c r="FU43" s="2"/>
    </row>
    <row r="44" spans="1:178" ht="16" customHeight="1">
      <c r="A44">
        <v>2019</v>
      </c>
      <c r="B44">
        <v>3050</v>
      </c>
      <c r="C44" t="s">
        <v>254</v>
      </c>
      <c r="D44" t="s">
        <v>245</v>
      </c>
      <c r="E44" s="203">
        <v>97</v>
      </c>
      <c r="F44" s="203" t="s">
        <v>251</v>
      </c>
      <c r="G44" s="203" t="s">
        <v>247</v>
      </c>
      <c r="H44" s="203" t="s">
        <v>248</v>
      </c>
      <c r="I44" s="202">
        <v>0</v>
      </c>
      <c r="J44" s="202">
        <v>0</v>
      </c>
      <c r="K44" s="202">
        <v>0</v>
      </c>
      <c r="L44" s="253"/>
      <c r="M44" s="254">
        <v>2019</v>
      </c>
      <c r="N44" s="254">
        <v>3740</v>
      </c>
      <c r="O44" s="255" t="s">
        <v>244</v>
      </c>
      <c r="P44" s="254">
        <v>410</v>
      </c>
      <c r="Q44" s="254">
        <v>226</v>
      </c>
      <c r="R44" s="255" t="s">
        <v>36</v>
      </c>
      <c r="S44" s="255" t="s">
        <v>137</v>
      </c>
      <c r="T44" s="350">
        <v>0</v>
      </c>
      <c r="U44" s="350">
        <v>0</v>
      </c>
      <c r="V44" s="350">
        <v>119060000</v>
      </c>
      <c r="W44" s="350">
        <v>0</v>
      </c>
      <c r="X44" s="350">
        <v>119060000</v>
      </c>
      <c r="AA44" s="272">
        <v>2019</v>
      </c>
      <c r="AB44" s="272">
        <v>1370</v>
      </c>
      <c r="AC44" s="273" t="s">
        <v>255</v>
      </c>
      <c r="AD44" s="272" t="s">
        <v>489</v>
      </c>
      <c r="AE44" s="272">
        <v>47</v>
      </c>
      <c r="AF44" s="274" t="s">
        <v>398</v>
      </c>
      <c r="AG44" s="272">
        <v>289</v>
      </c>
      <c r="AH44" s="272">
        <v>2</v>
      </c>
      <c r="AI44" s="272">
        <v>275</v>
      </c>
      <c r="AJ44" s="272">
        <v>1</v>
      </c>
      <c r="AK44" s="272">
        <v>12564</v>
      </c>
      <c r="AL44" s="352">
        <v>45.687272727272727</v>
      </c>
      <c r="AX44" s="254">
        <v>2019</v>
      </c>
      <c r="AY44" s="254">
        <v>3740</v>
      </c>
      <c r="AZ44" s="255" t="s">
        <v>244</v>
      </c>
      <c r="BA44" s="254">
        <v>410</v>
      </c>
      <c r="BB44" s="254">
        <v>313</v>
      </c>
      <c r="BC44" s="255" t="s">
        <v>555</v>
      </c>
      <c r="BD44" s="255" t="s">
        <v>139</v>
      </c>
      <c r="BE44" s="350">
        <v>0</v>
      </c>
      <c r="BF44" s="350">
        <v>0</v>
      </c>
      <c r="BG44" s="350">
        <v>0</v>
      </c>
      <c r="BH44" s="350">
        <v>0</v>
      </c>
      <c r="BI44" s="350">
        <v>0</v>
      </c>
      <c r="BK44" s="272">
        <v>2019</v>
      </c>
      <c r="BL44" s="272">
        <v>1370</v>
      </c>
      <c r="BM44" s="273" t="s">
        <v>255</v>
      </c>
      <c r="BN44" s="272" t="s">
        <v>588</v>
      </c>
      <c r="BO44" s="272">
        <v>70</v>
      </c>
      <c r="BP44" s="441" t="s">
        <v>600</v>
      </c>
      <c r="BQ44" s="272">
        <v>0</v>
      </c>
      <c r="BR44" s="272">
        <v>0</v>
      </c>
      <c r="BS44" s="272">
        <v>0</v>
      </c>
      <c r="BT44" s="272">
        <v>0</v>
      </c>
      <c r="BU44" s="272">
        <v>0</v>
      </c>
      <c r="BV44" s="272">
        <v>0</v>
      </c>
      <c r="BY44" t="str">
        <f t="shared" si="73"/>
        <v>S</v>
      </c>
      <c r="BZ44" s="362" t="s">
        <v>619</v>
      </c>
      <c r="CA44" s="362">
        <v>3</v>
      </c>
      <c r="CB44" s="362">
        <v>2</v>
      </c>
      <c r="CC44" s="362">
        <f t="shared" si="69"/>
        <v>3198</v>
      </c>
      <c r="CD44">
        <f t="shared" si="70"/>
        <v>1599</v>
      </c>
      <c r="CE44" s="444">
        <v>533</v>
      </c>
      <c r="CM44" s="299">
        <v>2019</v>
      </c>
      <c r="CN44" s="299">
        <v>1370</v>
      </c>
      <c r="CO44" s="300" t="s">
        <v>255</v>
      </c>
      <c r="CP44" s="299">
        <v>755</v>
      </c>
      <c r="CQ44" s="299">
        <v>11</v>
      </c>
      <c r="CR44" s="294" t="s">
        <v>330</v>
      </c>
      <c r="CS44" s="294" t="s">
        <v>332</v>
      </c>
      <c r="CT44" s="294" t="s">
        <v>333</v>
      </c>
      <c r="CU44" s="301">
        <v>38231324</v>
      </c>
      <c r="DB44">
        <f t="shared" si="72"/>
        <v>1</v>
      </c>
      <c r="DC44" s="595" t="s">
        <v>911</v>
      </c>
      <c r="DD44" s="595" t="s">
        <v>912</v>
      </c>
      <c r="DE44" s="595" t="s">
        <v>690</v>
      </c>
      <c r="DF44" s="286">
        <v>1128</v>
      </c>
      <c r="DG44" s="286">
        <v>114128</v>
      </c>
      <c r="DH44" s="286">
        <v>6488899</v>
      </c>
      <c r="DI44" s="286">
        <v>4839688</v>
      </c>
      <c r="DJ44">
        <v>3</v>
      </c>
      <c r="DK44" s="643">
        <f t="shared" si="74"/>
        <v>679.18710494589243</v>
      </c>
      <c r="DL44" s="408">
        <f t="shared" si="75"/>
        <v>77514265.913264811</v>
      </c>
      <c r="DM44" s="286"/>
      <c r="DN44" s="286"/>
      <c r="EC44" s="289" t="s">
        <v>696</v>
      </c>
      <c r="ED44" s="296">
        <v>9526</v>
      </c>
      <c r="EE44" s="478">
        <v>1</v>
      </c>
      <c r="EF44" s="296">
        <v>9526</v>
      </c>
      <c r="EG44" s="477">
        <v>1.3469322412893829</v>
      </c>
      <c r="EH44" s="594">
        <v>3304.8765305226621</v>
      </c>
      <c r="EI44" s="286">
        <v>12830.876530522663</v>
      </c>
      <c r="EJ44" s="472">
        <f t="shared" si="76"/>
        <v>0.74242784406342976</v>
      </c>
      <c r="EK44" s="472">
        <f t="shared" si="77"/>
        <v>0.25757215593657024</v>
      </c>
      <c r="EL44" s="596">
        <v>3.3975903499678425E-4</v>
      </c>
      <c r="EM44" s="453">
        <v>13</v>
      </c>
      <c r="EN44" s="453">
        <v>872</v>
      </c>
      <c r="EO44" s="453">
        <v>57.083333333333336</v>
      </c>
      <c r="EP44" s="453">
        <v>0</v>
      </c>
      <c r="EQ44" s="453">
        <v>338.75</v>
      </c>
      <c r="ER44" s="453">
        <v>33.75</v>
      </c>
      <c r="ES44" s="453">
        <v>0</v>
      </c>
      <c r="ET44" s="453">
        <v>482</v>
      </c>
      <c r="EU44" s="453">
        <v>85.3</v>
      </c>
      <c r="EV44" s="453">
        <v>77.116628175519637</v>
      </c>
      <c r="EW44" s="453"/>
      <c r="FA44" s="544" t="s">
        <v>724</v>
      </c>
      <c r="FB44" s="715">
        <f>FB46</f>
        <v>171.25835210915346</v>
      </c>
      <c r="FC44" s="4"/>
      <c r="FD44" s="4"/>
      <c r="FE44" s="4"/>
      <c r="FF44" s="659" t="s">
        <v>1691</v>
      </c>
      <c r="FH44" t="s">
        <v>797</v>
      </c>
      <c r="FI44" t="s">
        <v>804</v>
      </c>
      <c r="FJ44" t="s">
        <v>805</v>
      </c>
      <c r="FK44" t="s">
        <v>800</v>
      </c>
      <c r="FL44" t="s">
        <v>678</v>
      </c>
      <c r="FM44" t="s">
        <v>794</v>
      </c>
      <c r="FN44" t="s">
        <v>353</v>
      </c>
      <c r="FO44" t="s">
        <v>803</v>
      </c>
      <c r="FP44" t="s">
        <v>1627</v>
      </c>
      <c r="FQ44" t="s">
        <v>1628</v>
      </c>
      <c r="FR44" t="s">
        <v>1680</v>
      </c>
      <c r="FS44" t="s">
        <v>1815</v>
      </c>
      <c r="FU44" s="2"/>
    </row>
    <row r="45" spans="1:178" ht="16" customHeight="1">
      <c r="A45">
        <v>2019</v>
      </c>
      <c r="B45">
        <v>3050</v>
      </c>
      <c r="C45" t="s">
        <v>254</v>
      </c>
      <c r="D45" t="s">
        <v>245</v>
      </c>
      <c r="E45" s="203">
        <v>98</v>
      </c>
      <c r="F45" s="203" t="s">
        <v>251</v>
      </c>
      <c r="G45" s="203" t="s">
        <v>247</v>
      </c>
      <c r="H45" s="204" t="s">
        <v>249</v>
      </c>
      <c r="I45" s="202">
        <v>0</v>
      </c>
      <c r="J45" s="202">
        <v>0</v>
      </c>
      <c r="K45" s="202">
        <v>0</v>
      </c>
      <c r="L45" s="253"/>
      <c r="M45" s="254">
        <v>2019</v>
      </c>
      <c r="N45" s="254">
        <v>3740</v>
      </c>
      <c r="O45" s="255" t="s">
        <v>244</v>
      </c>
      <c r="P45" s="254">
        <v>410</v>
      </c>
      <c r="Q45" s="254">
        <v>227</v>
      </c>
      <c r="R45" s="255" t="s">
        <v>36</v>
      </c>
      <c r="S45" s="255" t="s">
        <v>138</v>
      </c>
      <c r="T45" s="350">
        <v>0</v>
      </c>
      <c r="U45" s="350">
        <v>0</v>
      </c>
      <c r="V45" s="350">
        <v>-1309000</v>
      </c>
      <c r="W45" s="350">
        <v>0</v>
      </c>
      <c r="X45" s="350">
        <v>-1309000</v>
      </c>
      <c r="AA45" s="272">
        <v>2019</v>
      </c>
      <c r="AB45" s="272">
        <v>1370</v>
      </c>
      <c r="AC45" s="273" t="s">
        <v>255</v>
      </c>
      <c r="AD45" s="272" t="s">
        <v>489</v>
      </c>
      <c r="AE45" s="272">
        <v>48</v>
      </c>
      <c r="AF45" s="274" t="s">
        <v>399</v>
      </c>
      <c r="AG45" s="272">
        <v>0</v>
      </c>
      <c r="AH45" s="272">
        <v>8</v>
      </c>
      <c r="AI45" s="272">
        <v>0</v>
      </c>
      <c r="AJ45" s="272">
        <v>0</v>
      </c>
      <c r="AK45" s="272">
        <v>0</v>
      </c>
      <c r="AL45" s="352">
        <v>0</v>
      </c>
      <c r="AX45" s="254">
        <v>2019</v>
      </c>
      <c r="AY45" s="254">
        <v>3740</v>
      </c>
      <c r="AZ45" s="255" t="s">
        <v>244</v>
      </c>
      <c r="BA45" s="254">
        <v>410</v>
      </c>
      <c r="BB45" s="254">
        <v>314</v>
      </c>
      <c r="BC45" s="255" t="s">
        <v>555</v>
      </c>
      <c r="BD45" s="255" t="s">
        <v>140</v>
      </c>
      <c r="BE45" s="350">
        <v>0</v>
      </c>
      <c r="BF45" s="350">
        <v>0</v>
      </c>
      <c r="BG45" s="350">
        <v>0</v>
      </c>
      <c r="BH45" s="350">
        <v>0</v>
      </c>
      <c r="BI45" s="350">
        <v>0</v>
      </c>
      <c r="BK45" s="272">
        <v>2019</v>
      </c>
      <c r="BL45" s="272">
        <v>1550</v>
      </c>
      <c r="BM45" s="273" t="s">
        <v>258</v>
      </c>
      <c r="BN45" s="272" t="s">
        <v>588</v>
      </c>
      <c r="BO45" s="272">
        <v>59</v>
      </c>
      <c r="BP45" s="441" t="s">
        <v>589</v>
      </c>
      <c r="BQ45" s="272">
        <v>0</v>
      </c>
      <c r="BR45" s="272">
        <v>33865</v>
      </c>
      <c r="BS45" s="272">
        <v>0</v>
      </c>
      <c r="BT45" s="272">
        <v>33865</v>
      </c>
      <c r="BU45" s="272">
        <v>0</v>
      </c>
      <c r="BV45" s="272">
        <v>0</v>
      </c>
      <c r="BY45" t="str">
        <f t="shared" si="73"/>
        <v>Q</v>
      </c>
      <c r="BZ45" s="362" t="s">
        <v>620</v>
      </c>
      <c r="CA45" s="362">
        <v>3</v>
      </c>
      <c r="CB45" s="362">
        <v>1</v>
      </c>
      <c r="CC45" s="362">
        <f t="shared" si="69"/>
        <v>1848</v>
      </c>
      <c r="CD45">
        <f t="shared" si="70"/>
        <v>1848</v>
      </c>
      <c r="CE45" s="444">
        <v>616</v>
      </c>
      <c r="CM45" s="299">
        <v>2019</v>
      </c>
      <c r="CN45" s="299">
        <v>1370</v>
      </c>
      <c r="CO45" s="300" t="s">
        <v>255</v>
      </c>
      <c r="CP45" s="299">
        <v>755</v>
      </c>
      <c r="CQ45" s="299">
        <v>12</v>
      </c>
      <c r="CR45" s="294" t="s">
        <v>330</v>
      </c>
      <c r="CS45" s="294" t="s">
        <v>334</v>
      </c>
      <c r="CT45" s="294" t="s">
        <v>335</v>
      </c>
      <c r="CU45" s="301">
        <v>2423065</v>
      </c>
      <c r="DB45">
        <f t="shared" si="72"/>
        <v>1</v>
      </c>
      <c r="DC45" s="595" t="s">
        <v>808</v>
      </c>
      <c r="DD45" s="595" t="s">
        <v>809</v>
      </c>
      <c r="DE45" s="595" t="s">
        <v>687</v>
      </c>
      <c r="DF45" s="286">
        <v>1960</v>
      </c>
      <c r="DG45" s="286">
        <v>160320</v>
      </c>
      <c r="DH45" s="286">
        <v>9080560</v>
      </c>
      <c r="DI45" s="286">
        <v>6540245</v>
      </c>
      <c r="DJ45">
        <v>4</v>
      </c>
      <c r="DK45" s="643">
        <f t="shared" si="74"/>
        <v>372.51982588160462</v>
      </c>
      <c r="DL45" s="408">
        <f t="shared" si="75"/>
        <v>59722378.485338852</v>
      </c>
      <c r="DM45" s="286"/>
      <c r="DN45" s="286"/>
      <c r="EC45" s="289" t="s">
        <v>699</v>
      </c>
      <c r="ED45" s="296">
        <v>422640</v>
      </c>
      <c r="EE45" s="478">
        <v>3.5915986287092889</v>
      </c>
      <c r="EF45" s="296">
        <v>117674.61893476776</v>
      </c>
      <c r="EG45" s="477">
        <v>1.0844039662606211</v>
      </c>
      <c r="EH45" s="594">
        <v>9932.2045663015797</v>
      </c>
      <c r="EI45" s="286">
        <v>127606.82350106933</v>
      </c>
      <c r="EJ45" s="472">
        <f t="shared" si="76"/>
        <v>0.92216556847198428</v>
      </c>
      <c r="EK45" s="472">
        <f t="shared" si="77"/>
        <v>7.7834431528015724E-2</v>
      </c>
      <c r="EL45" s="596">
        <v>3.3790030718939676E-3</v>
      </c>
      <c r="EM45" s="453">
        <v>116.75</v>
      </c>
      <c r="EN45" s="453">
        <v>438.16666666666669</v>
      </c>
      <c r="EO45" s="453">
        <v>290.66666666666669</v>
      </c>
      <c r="EP45" s="453">
        <v>5.75</v>
      </c>
      <c r="EQ45" s="453">
        <v>175.35</v>
      </c>
      <c r="ER45" s="453">
        <v>57.8</v>
      </c>
      <c r="ES45" s="453">
        <v>97.5</v>
      </c>
      <c r="ET45" s="453">
        <v>315</v>
      </c>
      <c r="EU45" s="453">
        <v>168</v>
      </c>
      <c r="EV45" s="453">
        <v>43.60498505497138</v>
      </c>
      <c r="EW45" s="453"/>
      <c r="FA45" s="714" t="s">
        <v>800</v>
      </c>
      <c r="FB45" s="794" t="s">
        <v>1599</v>
      </c>
      <c r="FC45" s="794" t="s">
        <v>1600</v>
      </c>
      <c r="FD45" s="794" t="s">
        <v>1601</v>
      </c>
      <c r="FE45" s="794" t="s">
        <v>1689</v>
      </c>
      <c r="FF45" s="795" t="s">
        <v>1690</v>
      </c>
      <c r="FH45">
        <v>40</v>
      </c>
      <c r="FI45" t="s">
        <v>1036</v>
      </c>
      <c r="FJ45" t="s">
        <v>1037</v>
      </c>
      <c r="FK45" t="s">
        <v>701</v>
      </c>
      <c r="FL45" s="286">
        <v>10072</v>
      </c>
      <c r="FM45" s="286">
        <v>1051212</v>
      </c>
      <c r="FN45" s="286">
        <v>22975108</v>
      </c>
      <c r="FO45" s="286">
        <v>15586631</v>
      </c>
      <c r="FP45">
        <v>41</v>
      </c>
      <c r="FQ45" s="925">
        <v>143.17663014662168</v>
      </c>
      <c r="FR45" s="926">
        <v>150508991.72969046</v>
      </c>
      <c r="FS45">
        <v>1</v>
      </c>
      <c r="FT45" s="927">
        <f>-1*(PMT($EA$23,$EA$24,FQ45,$EA$25*FQ45)/(365*24))</f>
        <v>1.8547584462372868E-2</v>
      </c>
      <c r="FU45" s="790">
        <f>FT45*FV45</f>
        <v>1.9358065287787833</v>
      </c>
      <c r="FV45" s="788">
        <f>FM45/FL45</f>
        <v>104.36973788721207</v>
      </c>
    </row>
    <row r="46" spans="1:178" ht="16" customHeight="1">
      <c r="A46">
        <v>2019</v>
      </c>
      <c r="B46">
        <v>1370</v>
      </c>
      <c r="C46" t="s">
        <v>255</v>
      </c>
      <c r="D46" t="s">
        <v>245</v>
      </c>
      <c r="E46" s="203">
        <v>91</v>
      </c>
      <c r="F46" s="203" t="s">
        <v>246</v>
      </c>
      <c r="G46" s="203" t="s">
        <v>247</v>
      </c>
      <c r="H46" s="203" t="s">
        <v>248</v>
      </c>
      <c r="I46" s="202">
        <v>154</v>
      </c>
      <c r="J46" s="202">
        <v>32340</v>
      </c>
      <c r="K46" s="202">
        <v>426656000</v>
      </c>
      <c r="L46" s="253"/>
      <c r="M46" s="254">
        <v>2019</v>
      </c>
      <c r="N46" s="254">
        <v>3740</v>
      </c>
      <c r="O46" s="255" t="s">
        <v>244</v>
      </c>
      <c r="P46" s="254">
        <v>410</v>
      </c>
      <c r="Q46" s="254">
        <v>228</v>
      </c>
      <c r="R46" s="255" t="s">
        <v>36</v>
      </c>
      <c r="S46" s="255" t="s">
        <v>139</v>
      </c>
      <c r="T46" s="350">
        <v>0</v>
      </c>
      <c r="U46" s="350">
        <v>0</v>
      </c>
      <c r="V46" s="350">
        <v>0</v>
      </c>
      <c r="W46" s="350">
        <v>0</v>
      </c>
      <c r="X46" s="350">
        <v>0</v>
      </c>
      <c r="AA46" s="272">
        <v>2019</v>
      </c>
      <c r="AB46" s="272">
        <v>1370</v>
      </c>
      <c r="AC46" s="273" t="s">
        <v>255</v>
      </c>
      <c r="AD46" s="272" t="s">
        <v>489</v>
      </c>
      <c r="AE46" s="272">
        <v>49</v>
      </c>
      <c r="AF46" s="274" t="s">
        <v>490</v>
      </c>
      <c r="AG46" s="272">
        <v>4283</v>
      </c>
      <c r="AH46" s="272">
        <v>19</v>
      </c>
      <c r="AI46" s="272">
        <v>3838</v>
      </c>
      <c r="AJ46" s="272">
        <v>10</v>
      </c>
      <c r="AK46" s="272">
        <v>425225</v>
      </c>
      <c r="AL46" s="352">
        <v>110.79338196977592</v>
      </c>
      <c r="AX46" s="254">
        <v>2019</v>
      </c>
      <c r="AY46" s="254">
        <v>3740</v>
      </c>
      <c r="AZ46" s="255" t="s">
        <v>244</v>
      </c>
      <c r="BA46" s="254">
        <v>410</v>
      </c>
      <c r="BB46" s="254">
        <v>315</v>
      </c>
      <c r="BC46" s="255" t="s">
        <v>555</v>
      </c>
      <c r="BD46" s="255" t="s">
        <v>141</v>
      </c>
      <c r="BE46" s="350">
        <v>0</v>
      </c>
      <c r="BF46" s="350">
        <v>0</v>
      </c>
      <c r="BG46" s="350">
        <v>74000</v>
      </c>
      <c r="BH46" s="350">
        <v>0</v>
      </c>
      <c r="BI46" s="350">
        <v>74000</v>
      </c>
      <c r="BK46" s="272">
        <v>2019</v>
      </c>
      <c r="BL46" s="272">
        <v>1550</v>
      </c>
      <c r="BM46" s="273" t="s">
        <v>258</v>
      </c>
      <c r="BN46" s="272" t="s">
        <v>588</v>
      </c>
      <c r="BO46" s="272">
        <v>60</v>
      </c>
      <c r="BP46" s="441" t="s">
        <v>590</v>
      </c>
      <c r="BQ46" s="272">
        <v>0</v>
      </c>
      <c r="BR46" s="272">
        <v>18753</v>
      </c>
      <c r="BS46" s="272">
        <v>0</v>
      </c>
      <c r="BT46" s="272">
        <v>20003</v>
      </c>
      <c r="BU46" s="272">
        <v>565135</v>
      </c>
      <c r="BV46" s="272">
        <v>0</v>
      </c>
      <c r="BY46" t="str">
        <f t="shared" si="73"/>
        <v>Q</v>
      </c>
      <c r="BZ46" s="362" t="s">
        <v>621</v>
      </c>
      <c r="CA46" s="362">
        <v>3</v>
      </c>
      <c r="CB46" s="362">
        <v>1</v>
      </c>
      <c r="CC46" s="362">
        <f t="shared" si="69"/>
        <v>6444</v>
      </c>
      <c r="CD46">
        <f t="shared" si="70"/>
        <v>6444</v>
      </c>
      <c r="CE46" s="444">
        <v>2148</v>
      </c>
      <c r="CM46" s="299">
        <v>2019</v>
      </c>
      <c r="CN46" s="299">
        <v>1370</v>
      </c>
      <c r="CO46" s="300" t="s">
        <v>255</v>
      </c>
      <c r="CP46" s="299">
        <v>755</v>
      </c>
      <c r="CQ46" s="299">
        <v>13</v>
      </c>
      <c r="CR46" s="294" t="s">
        <v>330</v>
      </c>
      <c r="CS46" s="294" t="s">
        <v>336</v>
      </c>
      <c r="CT46" s="294" t="s">
        <v>308</v>
      </c>
      <c r="CU46" s="301">
        <v>3256944</v>
      </c>
      <c r="DB46">
        <f t="shared" si="72"/>
        <v>1</v>
      </c>
      <c r="DC46" s="595" t="s">
        <v>1083</v>
      </c>
      <c r="DD46" s="595" t="s">
        <v>1084</v>
      </c>
      <c r="DE46" s="595" t="s">
        <v>692</v>
      </c>
      <c r="DF46" s="286">
        <v>1520</v>
      </c>
      <c r="DG46" s="286">
        <v>99240</v>
      </c>
      <c r="DH46" s="286">
        <v>17944280</v>
      </c>
      <c r="DI46" s="286">
        <v>11770502</v>
      </c>
      <c r="DJ46">
        <v>3</v>
      </c>
      <c r="DK46" s="643">
        <f t="shared" si="74"/>
        <v>679.18710494589243</v>
      </c>
      <c r="DL46" s="408">
        <f t="shared" si="75"/>
        <v>67402528.294830367</v>
      </c>
      <c r="DM46" s="286"/>
      <c r="DN46" s="286"/>
      <c r="EC46" s="289" t="s">
        <v>692</v>
      </c>
      <c r="ED46" s="296">
        <v>40996</v>
      </c>
      <c r="EE46" s="478">
        <v>1</v>
      </c>
      <c r="EF46" s="296">
        <v>40996</v>
      </c>
      <c r="EG46" s="477">
        <v>1.833645867382341</v>
      </c>
      <c r="EH46" s="594">
        <v>34176.145979206456</v>
      </c>
      <c r="EI46" s="286">
        <v>75172.145979206456</v>
      </c>
      <c r="EJ46" s="472">
        <f t="shared" si="76"/>
        <v>0.54536157596644907</v>
      </c>
      <c r="EK46" s="472">
        <f t="shared" si="77"/>
        <v>0.45463842403355093</v>
      </c>
      <c r="EL46" s="596">
        <v>1.9905433362853971E-3</v>
      </c>
      <c r="EM46" s="453">
        <v>54.333333333333336</v>
      </c>
      <c r="EN46" s="453">
        <v>83.75</v>
      </c>
      <c r="EO46" s="453">
        <v>75.083333333333329</v>
      </c>
      <c r="EP46" s="453">
        <v>27.25</v>
      </c>
      <c r="EQ46" s="453">
        <v>65.5</v>
      </c>
      <c r="ER46" s="453">
        <v>46.05</v>
      </c>
      <c r="ES46" s="453">
        <v>40</v>
      </c>
      <c r="ET46" s="453">
        <v>115.75</v>
      </c>
      <c r="EU46" s="453">
        <v>89.25</v>
      </c>
      <c r="EV46" s="453">
        <v>67.856473802322171</v>
      </c>
      <c r="EW46" s="453"/>
      <c r="FA46" s="687" t="s">
        <v>691</v>
      </c>
      <c r="FB46" s="606">
        <f>FC46/EM40</f>
        <v>171.25835210915346</v>
      </c>
      <c r="FC46" s="606">
        <f>EW25</f>
        <v>5537.3533848626294</v>
      </c>
      <c r="FD46" s="606">
        <f>FB46*FV31</f>
        <v>18135.268929079572</v>
      </c>
      <c r="FE46" s="606">
        <f>FB46</f>
        <v>171.25835210915346</v>
      </c>
      <c r="FF46" s="676">
        <f>FD46*EN28</f>
        <v>507.54363963043841</v>
      </c>
      <c r="FU46" s="2"/>
    </row>
    <row r="47" spans="1:178" ht="16" customHeight="1">
      <c r="A47">
        <v>2019</v>
      </c>
      <c r="B47">
        <v>1370</v>
      </c>
      <c r="C47" t="s">
        <v>255</v>
      </c>
      <c r="D47" t="s">
        <v>245</v>
      </c>
      <c r="E47" s="203">
        <v>92</v>
      </c>
      <c r="F47" s="203" t="s">
        <v>246</v>
      </c>
      <c r="G47" s="203" t="s">
        <v>247</v>
      </c>
      <c r="H47" s="204" t="s">
        <v>249</v>
      </c>
      <c r="I47" s="202">
        <v>0</v>
      </c>
      <c r="J47" s="202">
        <v>0</v>
      </c>
      <c r="K47" s="202">
        <v>0</v>
      </c>
      <c r="L47" s="253"/>
      <c r="M47" s="254">
        <v>2019</v>
      </c>
      <c r="N47" s="254">
        <v>3740</v>
      </c>
      <c r="O47" s="255" t="s">
        <v>244</v>
      </c>
      <c r="P47" s="254">
        <v>410</v>
      </c>
      <c r="Q47" s="254">
        <v>229</v>
      </c>
      <c r="R47" s="255" t="s">
        <v>36</v>
      </c>
      <c r="S47" s="255" t="s">
        <v>140</v>
      </c>
      <c r="T47" s="350">
        <v>0</v>
      </c>
      <c r="U47" s="350">
        <v>0</v>
      </c>
      <c r="V47" s="350">
        <v>0</v>
      </c>
      <c r="W47" s="350">
        <v>0</v>
      </c>
      <c r="X47" s="350">
        <v>0</v>
      </c>
      <c r="AA47" s="272">
        <v>2019</v>
      </c>
      <c r="AB47" s="272">
        <v>1370</v>
      </c>
      <c r="AC47" s="273" t="s">
        <v>255</v>
      </c>
      <c r="AD47" s="272" t="s">
        <v>489</v>
      </c>
      <c r="AE47" s="272">
        <v>50</v>
      </c>
      <c r="AF47" s="274" t="s">
        <v>408</v>
      </c>
      <c r="AG47" s="272">
        <v>7</v>
      </c>
      <c r="AH47" s="272">
        <v>1</v>
      </c>
      <c r="AI47" s="272">
        <v>7</v>
      </c>
      <c r="AJ47" s="272">
        <v>1</v>
      </c>
      <c r="AK47" s="272">
        <v>806</v>
      </c>
      <c r="AL47" s="352">
        <v>115.14285714285714</v>
      </c>
      <c r="AX47" s="254">
        <v>2019</v>
      </c>
      <c r="AY47" s="254">
        <v>3740</v>
      </c>
      <c r="AZ47" s="255" t="s">
        <v>244</v>
      </c>
      <c r="BA47" s="254">
        <v>410</v>
      </c>
      <c r="BB47" s="254">
        <v>316</v>
      </c>
      <c r="BC47" s="255" t="s">
        <v>555</v>
      </c>
      <c r="BD47" s="255" t="s">
        <v>142</v>
      </c>
      <c r="BE47" s="350">
        <v>0</v>
      </c>
      <c r="BF47" s="350">
        <v>0</v>
      </c>
      <c r="BG47" s="350">
        <v>0</v>
      </c>
      <c r="BH47" s="350">
        <v>0</v>
      </c>
      <c r="BI47" s="350">
        <v>0</v>
      </c>
      <c r="BK47" s="272">
        <v>2019</v>
      </c>
      <c r="BL47" s="272">
        <v>1550</v>
      </c>
      <c r="BM47" s="273" t="s">
        <v>258</v>
      </c>
      <c r="BN47" s="272" t="s">
        <v>588</v>
      </c>
      <c r="BO47" s="272">
        <v>61</v>
      </c>
      <c r="BP47" s="441" t="s">
        <v>591</v>
      </c>
      <c r="BQ47" s="272">
        <v>0</v>
      </c>
      <c r="BR47" s="272">
        <v>84</v>
      </c>
      <c r="BS47" s="272">
        <v>0</v>
      </c>
      <c r="BT47" s="272">
        <v>90</v>
      </c>
      <c r="BU47" s="272">
        <v>1012</v>
      </c>
      <c r="BV47" s="272">
        <v>0</v>
      </c>
      <c r="BY47" t="str">
        <f t="shared" si="73"/>
        <v>Q</v>
      </c>
      <c r="BZ47" s="362" t="s">
        <v>622</v>
      </c>
      <c r="CA47" s="362">
        <v>3</v>
      </c>
      <c r="CB47" s="362">
        <v>1</v>
      </c>
      <c r="CC47" s="362">
        <f t="shared" si="69"/>
        <v>1467</v>
      </c>
      <c r="CD47">
        <f t="shared" si="70"/>
        <v>1467</v>
      </c>
      <c r="CE47" s="444">
        <v>489</v>
      </c>
      <c r="CM47" s="299">
        <v>2019</v>
      </c>
      <c r="CN47" s="299">
        <v>1370</v>
      </c>
      <c r="CO47" s="300" t="s">
        <v>255</v>
      </c>
      <c r="CP47" s="299">
        <v>755</v>
      </c>
      <c r="CQ47" s="299">
        <v>14</v>
      </c>
      <c r="CR47" s="294" t="s">
        <v>330</v>
      </c>
      <c r="CS47" s="294" t="s">
        <v>337</v>
      </c>
      <c r="CT47" s="294" t="s">
        <v>338</v>
      </c>
      <c r="CU47" s="301">
        <v>43911333</v>
      </c>
      <c r="DB47">
        <f t="shared" si="72"/>
        <v>1</v>
      </c>
      <c r="DC47" s="595" t="s">
        <v>810</v>
      </c>
      <c r="DD47" s="595" t="s">
        <v>811</v>
      </c>
      <c r="DE47" s="595" t="s">
        <v>687</v>
      </c>
      <c r="DF47" s="286">
        <v>5360</v>
      </c>
      <c r="DG47" s="286">
        <v>503280.00000000006</v>
      </c>
      <c r="DH47" s="286">
        <v>29542318</v>
      </c>
      <c r="DI47" s="286">
        <v>23023174</v>
      </c>
      <c r="DJ47">
        <v>3</v>
      </c>
      <c r="DK47" s="643">
        <f t="shared" si="74"/>
        <v>679.18710494589243</v>
      </c>
      <c r="DL47" s="408">
        <f t="shared" si="75"/>
        <v>341821286.17716879</v>
      </c>
      <c r="DM47" s="286"/>
      <c r="DN47" s="286"/>
      <c r="EC47" s="289" t="s">
        <v>700</v>
      </c>
      <c r="ED47" s="296">
        <v>15186300</v>
      </c>
      <c r="EE47" s="478">
        <v>5.10787997781991</v>
      </c>
      <c r="EF47" s="296">
        <v>2973112.1455366798</v>
      </c>
      <c r="EG47" s="477">
        <v>1.0844039662606211</v>
      </c>
      <c r="EH47" s="594">
        <v>250942.45722092065</v>
      </c>
      <c r="EI47" s="286">
        <v>3224054.6027576006</v>
      </c>
      <c r="EJ47" s="472">
        <f t="shared" si="76"/>
        <v>0.92216556847198417</v>
      </c>
      <c r="EK47" s="472">
        <f t="shared" si="77"/>
        <v>7.7834431528015835E-2</v>
      </c>
      <c r="EL47" s="596">
        <v>8.5372318719151616E-2</v>
      </c>
      <c r="EM47" s="453">
        <v>60.083333333333336</v>
      </c>
      <c r="EN47" s="453">
        <v>358.83333333333331</v>
      </c>
      <c r="EO47" s="453">
        <v>203.83333333333334</v>
      </c>
      <c r="EP47" s="453">
        <v>21.75</v>
      </c>
      <c r="EQ47" s="453">
        <v>151.6</v>
      </c>
      <c r="ER47" s="453">
        <v>65.45</v>
      </c>
      <c r="ES47" s="453">
        <v>77.650000000000006</v>
      </c>
      <c r="ET47" s="453">
        <v>420.5</v>
      </c>
      <c r="EU47" s="453">
        <v>175.5</v>
      </c>
      <c r="EV47" s="453">
        <v>66.315297354654589</v>
      </c>
      <c r="EW47" s="453"/>
      <c r="FA47" s="544" t="s">
        <v>1715</v>
      </c>
      <c r="FB47" s="715">
        <f>FB49</f>
        <v>106.19630804861076</v>
      </c>
      <c r="FC47" s="4"/>
      <c r="FD47" s="4"/>
      <c r="FE47" s="4"/>
      <c r="FF47" s="659" t="s">
        <v>1691</v>
      </c>
      <c r="FI47" s="2" t="s">
        <v>1208</v>
      </c>
      <c r="FU47" s="2"/>
    </row>
    <row r="48" spans="1:178" ht="16" customHeight="1">
      <c r="A48">
        <v>2019</v>
      </c>
      <c r="B48">
        <v>1370</v>
      </c>
      <c r="C48" t="s">
        <v>255</v>
      </c>
      <c r="D48" t="s">
        <v>245</v>
      </c>
      <c r="E48" s="203">
        <v>93</v>
      </c>
      <c r="F48" s="203" t="s">
        <v>250</v>
      </c>
      <c r="G48" s="203" t="s">
        <v>247</v>
      </c>
      <c r="H48" s="203" t="s">
        <v>248</v>
      </c>
      <c r="I48" s="202">
        <v>0</v>
      </c>
      <c r="J48" s="202">
        <v>0</v>
      </c>
      <c r="K48" s="202">
        <v>0</v>
      </c>
      <c r="L48" s="253"/>
      <c r="M48" s="254">
        <v>2019</v>
      </c>
      <c r="N48" s="254">
        <v>3740</v>
      </c>
      <c r="O48" s="255" t="s">
        <v>244</v>
      </c>
      <c r="P48" s="254">
        <v>410</v>
      </c>
      <c r="Q48" s="254">
        <v>230</v>
      </c>
      <c r="R48" s="255" t="s">
        <v>36</v>
      </c>
      <c r="S48" s="255" t="s">
        <v>141</v>
      </c>
      <c r="T48" s="350">
        <v>0</v>
      </c>
      <c r="U48" s="350">
        <v>0</v>
      </c>
      <c r="V48" s="350">
        <v>769859000</v>
      </c>
      <c r="W48" s="350">
        <v>0</v>
      </c>
      <c r="X48" s="350">
        <v>769859000</v>
      </c>
      <c r="AA48" s="272">
        <v>2019</v>
      </c>
      <c r="AB48" s="272">
        <v>1370</v>
      </c>
      <c r="AC48" s="273" t="s">
        <v>255</v>
      </c>
      <c r="AD48" s="272" t="s">
        <v>489</v>
      </c>
      <c r="AE48" s="272">
        <v>51</v>
      </c>
      <c r="AF48" s="274" t="s">
        <v>409</v>
      </c>
      <c r="AG48" s="272">
        <v>0</v>
      </c>
      <c r="AH48" s="272">
        <v>0</v>
      </c>
      <c r="AI48" s="272">
        <v>0</v>
      </c>
      <c r="AJ48" s="272">
        <v>0</v>
      </c>
      <c r="AK48" s="272">
        <v>0</v>
      </c>
      <c r="AL48" s="352">
        <v>0</v>
      </c>
      <c r="AX48" s="254">
        <v>2019</v>
      </c>
      <c r="AY48" s="254">
        <v>3740</v>
      </c>
      <c r="AZ48" s="255" t="s">
        <v>244</v>
      </c>
      <c r="BA48" s="254">
        <v>410</v>
      </c>
      <c r="BB48" s="254">
        <v>317</v>
      </c>
      <c r="BC48" s="255" t="s">
        <v>555</v>
      </c>
      <c r="BD48" s="255" t="s">
        <v>145</v>
      </c>
      <c r="BE48" s="350">
        <v>0</v>
      </c>
      <c r="BF48" s="350">
        <v>0</v>
      </c>
      <c r="BG48" s="350">
        <v>0</v>
      </c>
      <c r="BH48" s="350">
        <v>162399000</v>
      </c>
      <c r="BI48" s="350">
        <v>162399000</v>
      </c>
      <c r="BK48" s="272">
        <v>2019</v>
      </c>
      <c r="BL48" s="272">
        <v>1550</v>
      </c>
      <c r="BM48" s="273" t="s">
        <v>258</v>
      </c>
      <c r="BN48" s="272" t="s">
        <v>588</v>
      </c>
      <c r="BO48" s="272">
        <v>62</v>
      </c>
      <c r="BP48" s="441" t="s">
        <v>592</v>
      </c>
      <c r="BQ48" s="272">
        <v>0</v>
      </c>
      <c r="BR48" s="272">
        <v>0</v>
      </c>
      <c r="BS48" s="272">
        <v>0</v>
      </c>
      <c r="BT48" s="272">
        <v>0</v>
      </c>
      <c r="BU48" s="272">
        <v>0</v>
      </c>
      <c r="BV48" s="272">
        <v>0</v>
      </c>
      <c r="BY48" t="str">
        <f t="shared" si="73"/>
        <v>S</v>
      </c>
      <c r="BZ48" s="362" t="s">
        <v>623</v>
      </c>
      <c r="CA48" s="362">
        <v>3</v>
      </c>
      <c r="CB48" s="362">
        <v>2</v>
      </c>
      <c r="CC48" s="362">
        <f t="shared" si="69"/>
        <v>2502</v>
      </c>
      <c r="CD48">
        <f t="shared" si="70"/>
        <v>1251</v>
      </c>
      <c r="CE48" s="444">
        <v>417</v>
      </c>
      <c r="CM48" s="299">
        <v>2019</v>
      </c>
      <c r="CN48" s="299">
        <v>1370</v>
      </c>
      <c r="CO48" s="300" t="s">
        <v>255</v>
      </c>
      <c r="CP48" s="299">
        <v>755</v>
      </c>
      <c r="CQ48" s="299">
        <v>15</v>
      </c>
      <c r="CR48" s="294" t="s">
        <v>385</v>
      </c>
      <c r="CS48" s="294" t="s">
        <v>386</v>
      </c>
      <c r="CT48" s="294" t="s">
        <v>387</v>
      </c>
      <c r="CU48" s="301">
        <v>0</v>
      </c>
      <c r="DB48">
        <f t="shared" si="72"/>
        <v>1</v>
      </c>
      <c r="DC48" s="595" t="s">
        <v>810</v>
      </c>
      <c r="DD48" s="595" t="s">
        <v>811</v>
      </c>
      <c r="DE48" s="595" t="s">
        <v>686</v>
      </c>
      <c r="DF48" s="286">
        <v>440</v>
      </c>
      <c r="DG48" s="286">
        <v>40160</v>
      </c>
      <c r="DH48" s="286">
        <v>2728000</v>
      </c>
      <c r="DI48" s="286">
        <v>2174323</v>
      </c>
      <c r="DJ48">
        <v>3</v>
      </c>
      <c r="DK48" s="643">
        <f t="shared" si="74"/>
        <v>679.18710494589243</v>
      </c>
      <c r="DL48" s="408">
        <f t="shared" si="75"/>
        <v>27276154.13462704</v>
      </c>
      <c r="DM48" s="286"/>
      <c r="DN48" s="286"/>
      <c r="EC48" s="289" t="s">
        <v>695</v>
      </c>
      <c r="ED48" s="296">
        <v>3479914</v>
      </c>
      <c r="EE48" s="478">
        <v>1</v>
      </c>
      <c r="EF48" s="296">
        <v>3479914</v>
      </c>
      <c r="EG48" s="477">
        <v>2.03277833409512</v>
      </c>
      <c r="EH48" s="594">
        <v>3593979.7837142856</v>
      </c>
      <c r="EI48" s="286">
        <v>7073893.7837142851</v>
      </c>
      <c r="EJ48" s="472">
        <f t="shared" si="76"/>
        <v>0.49193755326261113</v>
      </c>
      <c r="EK48" s="472">
        <f t="shared" si="77"/>
        <v>0.50806244673738887</v>
      </c>
      <c r="EL48" s="596">
        <v>0.18731528745578332</v>
      </c>
      <c r="EM48" s="453">
        <v>32.833333333333336</v>
      </c>
      <c r="EN48" s="453">
        <v>81.833333333333329</v>
      </c>
      <c r="EO48" s="453">
        <v>59.333333333333336</v>
      </c>
      <c r="EP48" s="453">
        <v>15.6</v>
      </c>
      <c r="EQ48" s="453">
        <v>93.5</v>
      </c>
      <c r="ER48" s="453">
        <v>37.9</v>
      </c>
      <c r="ES48" s="453">
        <v>40</v>
      </c>
      <c r="ET48" s="453">
        <v>149.05000000000001</v>
      </c>
      <c r="EU48" s="453">
        <v>98.35</v>
      </c>
      <c r="EV48" s="453">
        <v>86.617876763621169</v>
      </c>
      <c r="EW48" s="453"/>
      <c r="FA48" s="714" t="s">
        <v>800</v>
      </c>
      <c r="FB48" s="794" t="s">
        <v>1599</v>
      </c>
      <c r="FC48" s="794" t="s">
        <v>1600</v>
      </c>
      <c r="FD48" s="794" t="s">
        <v>1601</v>
      </c>
      <c r="FE48" s="794" t="s">
        <v>1689</v>
      </c>
      <c r="FF48" s="795" t="s">
        <v>1690</v>
      </c>
      <c r="FH48" t="s">
        <v>797</v>
      </c>
      <c r="FI48" t="s">
        <v>804</v>
      </c>
      <c r="FJ48" t="s">
        <v>805</v>
      </c>
      <c r="FK48" t="s">
        <v>800</v>
      </c>
      <c r="FL48" t="s">
        <v>678</v>
      </c>
      <c r="FM48" t="s">
        <v>794</v>
      </c>
      <c r="FN48" t="s">
        <v>353</v>
      </c>
      <c r="FO48" t="s">
        <v>803</v>
      </c>
      <c r="FP48" t="s">
        <v>1627</v>
      </c>
      <c r="FQ48" t="s">
        <v>1628</v>
      </c>
      <c r="FR48" t="s">
        <v>1680</v>
      </c>
      <c r="FS48" t="s">
        <v>1815</v>
      </c>
      <c r="FU48" s="2"/>
    </row>
    <row r="49" spans="1:178" ht="16" customHeight="1">
      <c r="A49">
        <v>2019</v>
      </c>
      <c r="B49">
        <v>1370</v>
      </c>
      <c r="C49" t="s">
        <v>255</v>
      </c>
      <c r="D49" t="s">
        <v>245</v>
      </c>
      <c r="E49" s="203">
        <v>94</v>
      </c>
      <c r="F49" s="203" t="s">
        <v>250</v>
      </c>
      <c r="G49" s="203" t="s">
        <v>247</v>
      </c>
      <c r="H49" s="204" t="s">
        <v>249</v>
      </c>
      <c r="I49" s="202">
        <v>0</v>
      </c>
      <c r="J49" s="202">
        <v>0</v>
      </c>
      <c r="K49" s="202">
        <v>0</v>
      </c>
      <c r="L49" s="253"/>
      <c r="M49" s="254">
        <v>2019</v>
      </c>
      <c r="N49" s="254">
        <v>3740</v>
      </c>
      <c r="O49" s="255" t="s">
        <v>244</v>
      </c>
      <c r="P49" s="254">
        <v>410</v>
      </c>
      <c r="Q49" s="254">
        <v>231</v>
      </c>
      <c r="R49" s="255" t="s">
        <v>36</v>
      </c>
      <c r="S49" s="255" t="s">
        <v>142</v>
      </c>
      <c r="T49" s="350">
        <v>0</v>
      </c>
      <c r="U49" s="350">
        <v>0</v>
      </c>
      <c r="V49" s="350">
        <v>-125823000</v>
      </c>
      <c r="W49" s="350">
        <v>0</v>
      </c>
      <c r="X49" s="350">
        <v>-125823000</v>
      </c>
      <c r="AA49" s="272">
        <v>2019</v>
      </c>
      <c r="AB49" s="272">
        <v>1370</v>
      </c>
      <c r="AC49" s="273" t="s">
        <v>255</v>
      </c>
      <c r="AD49" s="272" t="s">
        <v>489</v>
      </c>
      <c r="AE49" s="272">
        <v>52</v>
      </c>
      <c r="AF49" s="274" t="s">
        <v>491</v>
      </c>
      <c r="AG49" s="272">
        <v>50</v>
      </c>
      <c r="AH49" s="272">
        <v>1</v>
      </c>
      <c r="AI49" s="272">
        <v>49</v>
      </c>
      <c r="AJ49" s="272">
        <v>1</v>
      </c>
      <c r="AK49" s="272">
        <v>7635</v>
      </c>
      <c r="AL49" s="352">
        <v>155.81632653061226</v>
      </c>
      <c r="AX49" s="254">
        <v>2019</v>
      </c>
      <c r="AY49" s="254">
        <v>3740</v>
      </c>
      <c r="AZ49" s="255" t="s">
        <v>244</v>
      </c>
      <c r="BA49" s="254">
        <v>410</v>
      </c>
      <c r="BB49" s="254">
        <v>318</v>
      </c>
      <c r="BC49" s="255" t="s">
        <v>555</v>
      </c>
      <c r="BD49" s="255" t="s">
        <v>152</v>
      </c>
      <c r="BE49" s="350">
        <v>0</v>
      </c>
      <c r="BF49" s="350">
        <v>0</v>
      </c>
      <c r="BG49" s="350">
        <v>6463000</v>
      </c>
      <c r="BH49" s="350">
        <v>0</v>
      </c>
      <c r="BI49" s="350">
        <v>6463000</v>
      </c>
      <c r="BK49" s="272">
        <v>2019</v>
      </c>
      <c r="BL49" s="272">
        <v>1550</v>
      </c>
      <c r="BM49" s="273" t="s">
        <v>258</v>
      </c>
      <c r="BN49" s="272" t="s">
        <v>588</v>
      </c>
      <c r="BO49" s="272">
        <v>63</v>
      </c>
      <c r="BP49" s="441" t="s">
        <v>593</v>
      </c>
      <c r="BQ49" s="272">
        <v>0</v>
      </c>
      <c r="BR49" s="272">
        <v>0</v>
      </c>
      <c r="BS49" s="272">
        <v>0</v>
      </c>
      <c r="BT49" s="272">
        <v>0</v>
      </c>
      <c r="BU49" s="272">
        <v>0</v>
      </c>
      <c r="BV49" s="272">
        <v>0</v>
      </c>
      <c r="BY49" t="str">
        <f t="shared" si="73"/>
        <v>S</v>
      </c>
      <c r="BZ49" s="362" t="s">
        <v>624</v>
      </c>
      <c r="CA49" s="362">
        <v>3</v>
      </c>
      <c r="CB49" s="362">
        <v>2</v>
      </c>
      <c r="CC49" s="362">
        <f t="shared" si="69"/>
        <v>1764</v>
      </c>
      <c r="CD49">
        <f t="shared" si="70"/>
        <v>882</v>
      </c>
      <c r="CE49" s="444">
        <v>294</v>
      </c>
      <c r="CM49" s="299">
        <v>2019</v>
      </c>
      <c r="CN49" s="299">
        <v>1370</v>
      </c>
      <c r="CO49" s="300" t="s">
        <v>255</v>
      </c>
      <c r="CP49" s="299">
        <v>755</v>
      </c>
      <c r="CQ49" s="299">
        <v>16</v>
      </c>
      <c r="CR49" s="294" t="s">
        <v>385</v>
      </c>
      <c r="CS49" s="294" t="s">
        <v>386</v>
      </c>
      <c r="CT49" s="294" t="s">
        <v>388</v>
      </c>
      <c r="CU49" s="301">
        <v>4176000</v>
      </c>
      <c r="DB49">
        <f t="shared" si="72"/>
        <v>1</v>
      </c>
      <c r="DC49" s="595" t="s">
        <v>810</v>
      </c>
      <c r="DD49" s="595" t="s">
        <v>811</v>
      </c>
      <c r="DE49" s="595" t="s">
        <v>690</v>
      </c>
      <c r="DF49" s="286">
        <v>3512</v>
      </c>
      <c r="DG49" s="286">
        <v>367688</v>
      </c>
      <c r="DH49" s="286">
        <v>16031350</v>
      </c>
      <c r="DI49" s="286">
        <v>11570963</v>
      </c>
      <c r="DJ49">
        <v>3</v>
      </c>
      <c r="DK49" s="643">
        <f t="shared" si="74"/>
        <v>679.18710494589243</v>
      </c>
      <c r="DL49" s="408">
        <f t="shared" si="75"/>
        <v>249728948.24334529</v>
      </c>
      <c r="DM49" s="286"/>
      <c r="DN49" s="286"/>
      <c r="EC49" s="289" t="s">
        <v>693</v>
      </c>
      <c r="ED49" s="296">
        <v>1691760</v>
      </c>
      <c r="EE49" s="478">
        <v>1</v>
      </c>
      <c r="EF49" s="296">
        <v>1691760</v>
      </c>
      <c r="EG49" s="477">
        <v>1.4461718276582958</v>
      </c>
      <c r="EH49" s="594">
        <v>754815.65115919849</v>
      </c>
      <c r="EI49" s="286">
        <v>2446575.6511591985</v>
      </c>
      <c r="EJ49" s="472">
        <f t="shared" si="76"/>
        <v>0.69148076381714851</v>
      </c>
      <c r="EK49" s="472">
        <f t="shared" si="77"/>
        <v>0.30851923618285149</v>
      </c>
      <c r="EL49" s="596">
        <v>6.47848321435463E-2</v>
      </c>
      <c r="EM49" s="453">
        <v>86.166666666666671</v>
      </c>
      <c r="EN49" s="453">
        <v>149.83333333333334</v>
      </c>
      <c r="EO49" s="453">
        <v>93.833333333333329</v>
      </c>
      <c r="EP49" s="453">
        <v>35</v>
      </c>
      <c r="EQ49" s="453">
        <v>81</v>
      </c>
      <c r="ER49" s="453">
        <v>52.5</v>
      </c>
      <c r="ES49" s="453">
        <v>25.25</v>
      </c>
      <c r="ET49" s="453">
        <v>75</v>
      </c>
      <c r="EU49" s="453">
        <v>37.6</v>
      </c>
      <c r="EV49" s="453">
        <v>21.293493166879461</v>
      </c>
      <c r="EW49" s="453"/>
      <c r="FA49" s="687" t="s">
        <v>695</v>
      </c>
      <c r="FB49" s="606">
        <f>FC49/EO48</f>
        <v>106.19630804861076</v>
      </c>
      <c r="FC49" s="606">
        <f>EL20</f>
        <v>6300.980944217572</v>
      </c>
      <c r="FD49" s="606">
        <f>FB49*FV55</f>
        <v>9992.7536394720137</v>
      </c>
      <c r="FE49" s="606">
        <f>FB49</f>
        <v>106.19630804861076</v>
      </c>
      <c r="FF49" s="676">
        <f>FD49*EN29</f>
        <v>672.06300649188552</v>
      </c>
      <c r="FH49">
        <v>14</v>
      </c>
      <c r="FI49" t="s">
        <v>1016</v>
      </c>
      <c r="FJ49" t="s">
        <v>1017</v>
      </c>
      <c r="FK49" t="s">
        <v>696</v>
      </c>
      <c r="FL49" s="286">
        <v>5906</v>
      </c>
      <c r="FM49" s="286">
        <v>561749</v>
      </c>
      <c r="FN49" s="286">
        <v>6250546</v>
      </c>
      <c r="FO49" s="286">
        <v>1983155</v>
      </c>
      <c r="FP49">
        <v>12</v>
      </c>
      <c r="FQ49" s="925">
        <v>12.148631154247422</v>
      </c>
      <c r="FR49" s="926">
        <v>6824481.402267335</v>
      </c>
      <c r="FS49">
        <v>1</v>
      </c>
      <c r="FU49" s="2"/>
      <c r="FV49" s="788">
        <f>FM49/FL49</f>
        <v>95.114967829326105</v>
      </c>
    </row>
    <row r="50" spans="1:178" ht="16" customHeight="1">
      <c r="A50">
        <v>2019</v>
      </c>
      <c r="B50">
        <v>1370</v>
      </c>
      <c r="C50" t="s">
        <v>255</v>
      </c>
      <c r="D50" t="s">
        <v>245</v>
      </c>
      <c r="E50" s="203">
        <v>93</v>
      </c>
      <c r="F50" s="203" t="s">
        <v>256</v>
      </c>
      <c r="G50" s="203" t="s">
        <v>247</v>
      </c>
      <c r="H50" s="203" t="s">
        <v>248</v>
      </c>
      <c r="I50" s="202">
        <v>0</v>
      </c>
      <c r="J50" s="202">
        <v>0</v>
      </c>
      <c r="K50" s="202">
        <v>0</v>
      </c>
      <c r="L50" s="253"/>
      <c r="M50" s="254">
        <v>2019</v>
      </c>
      <c r="N50" s="254">
        <v>3740</v>
      </c>
      <c r="O50" s="255" t="s">
        <v>244</v>
      </c>
      <c r="P50" s="254">
        <v>410</v>
      </c>
      <c r="Q50" s="254">
        <v>232</v>
      </c>
      <c r="R50" s="255" t="s">
        <v>36</v>
      </c>
      <c r="S50" s="255" t="s">
        <v>145</v>
      </c>
      <c r="T50" s="350">
        <v>0</v>
      </c>
      <c r="U50" s="350">
        <v>0</v>
      </c>
      <c r="V50" s="350">
        <v>0</v>
      </c>
      <c r="W50" s="350">
        <v>59548000</v>
      </c>
      <c r="X50" s="350">
        <v>59548000</v>
      </c>
      <c r="AA50" s="272">
        <v>2019</v>
      </c>
      <c r="AB50" s="272">
        <v>1370</v>
      </c>
      <c r="AC50" s="273" t="s">
        <v>255</v>
      </c>
      <c r="AD50" s="272" t="s">
        <v>489</v>
      </c>
      <c r="AE50" s="272">
        <v>53</v>
      </c>
      <c r="AF50" s="274" t="s">
        <v>492</v>
      </c>
      <c r="AG50" s="272">
        <v>17915</v>
      </c>
      <c r="AH50" s="272">
        <v>2275</v>
      </c>
      <c r="AI50" s="272">
        <v>16605</v>
      </c>
      <c r="AJ50" s="272">
        <v>1813</v>
      </c>
      <c r="AK50" s="272">
        <v>1901757</v>
      </c>
      <c r="AL50" s="352">
        <v>114.52917795844625</v>
      </c>
      <c r="AX50" s="254">
        <v>2019</v>
      </c>
      <c r="AY50" s="254">
        <v>3740</v>
      </c>
      <c r="AZ50" s="255" t="s">
        <v>244</v>
      </c>
      <c r="BA50" s="254">
        <v>410</v>
      </c>
      <c r="BB50" s="254">
        <v>319</v>
      </c>
      <c r="BC50" s="255" t="s">
        <v>555</v>
      </c>
      <c r="BD50" s="255" t="s">
        <v>153</v>
      </c>
      <c r="BE50" s="350">
        <v>0</v>
      </c>
      <c r="BF50" s="350">
        <v>0</v>
      </c>
      <c r="BG50" s="350">
        <v>0</v>
      </c>
      <c r="BH50" s="350">
        <v>0</v>
      </c>
      <c r="BI50" s="350">
        <v>0</v>
      </c>
      <c r="BK50" s="272">
        <v>2019</v>
      </c>
      <c r="BL50" s="272">
        <v>1550</v>
      </c>
      <c r="BM50" s="273" t="s">
        <v>258</v>
      </c>
      <c r="BN50" s="272" t="s">
        <v>588</v>
      </c>
      <c r="BO50" s="272">
        <v>64</v>
      </c>
      <c r="BP50" s="441" t="s">
        <v>594</v>
      </c>
      <c r="BQ50" s="272">
        <v>0</v>
      </c>
      <c r="BR50" s="272">
        <v>0</v>
      </c>
      <c r="BS50" s="272">
        <v>0</v>
      </c>
      <c r="BT50" s="272">
        <v>0</v>
      </c>
      <c r="BU50" s="272">
        <v>0</v>
      </c>
      <c r="BV50" s="272">
        <v>0</v>
      </c>
      <c r="BY50" t="str">
        <f t="shared" si="73"/>
        <v>S</v>
      </c>
      <c r="BZ50" s="362" t="s">
        <v>625</v>
      </c>
      <c r="CA50" s="362">
        <v>3</v>
      </c>
      <c r="CB50" s="362">
        <v>2</v>
      </c>
      <c r="CC50" s="362">
        <f t="shared" si="69"/>
        <v>165306</v>
      </c>
      <c r="CD50">
        <f t="shared" si="70"/>
        <v>82653</v>
      </c>
      <c r="CE50" s="444">
        <v>27551</v>
      </c>
      <c r="CM50" s="299">
        <v>2019</v>
      </c>
      <c r="CN50" s="299">
        <v>1370</v>
      </c>
      <c r="CO50" s="300" t="s">
        <v>255</v>
      </c>
      <c r="CP50" s="299">
        <v>755</v>
      </c>
      <c r="CQ50" s="299">
        <v>17</v>
      </c>
      <c r="CR50" s="294" t="s">
        <v>385</v>
      </c>
      <c r="CS50" s="294" t="s">
        <v>386</v>
      </c>
      <c r="CT50" s="294" t="s">
        <v>389</v>
      </c>
      <c r="CU50" s="301">
        <v>39109000</v>
      </c>
      <c r="DB50">
        <f t="shared" si="72"/>
        <v>1</v>
      </c>
      <c r="DC50" s="595" t="s">
        <v>812</v>
      </c>
      <c r="DD50" s="595" t="s">
        <v>813</v>
      </c>
      <c r="DE50" s="595" t="s">
        <v>687</v>
      </c>
      <c r="DF50" s="286">
        <v>460</v>
      </c>
      <c r="DG50" s="286">
        <v>40560</v>
      </c>
      <c r="DH50" s="286">
        <v>2606640</v>
      </c>
      <c r="DI50" s="286">
        <v>2169233</v>
      </c>
      <c r="DJ50">
        <v>3</v>
      </c>
      <c r="DK50" s="643">
        <f t="shared" si="74"/>
        <v>679.18710494589243</v>
      </c>
      <c r="DL50" s="408">
        <f t="shared" si="75"/>
        <v>27547828.976605397</v>
      </c>
      <c r="DM50" s="286"/>
      <c r="DN50" s="286"/>
      <c r="EE50" s="476"/>
      <c r="EF50" s="476"/>
      <c r="EG50" s="476"/>
      <c r="EL50" s="793">
        <f>SUM(EL34:EL49)</f>
        <v>1.0000000000000002</v>
      </c>
      <c r="FA50" s="544" t="s">
        <v>1088</v>
      </c>
      <c r="FB50" s="715">
        <f>FB52</f>
        <v>106.19630804861076</v>
      </c>
      <c r="FC50" s="4"/>
      <c r="FD50" s="4"/>
      <c r="FE50" s="4"/>
      <c r="FF50" s="659" t="s">
        <v>1691</v>
      </c>
      <c r="FH50">
        <v>33</v>
      </c>
      <c r="FI50" t="s">
        <v>1030</v>
      </c>
      <c r="FJ50" t="s">
        <v>1031</v>
      </c>
      <c r="FK50" t="s">
        <v>696</v>
      </c>
      <c r="FL50" s="286">
        <v>1872</v>
      </c>
      <c r="FM50" s="286">
        <v>126836</v>
      </c>
      <c r="FN50" s="286">
        <v>8298023.9999999991</v>
      </c>
      <c r="FO50" s="286">
        <v>2762604</v>
      </c>
      <c r="FP50">
        <v>33</v>
      </c>
      <c r="FQ50" s="925">
        <v>3091.5868848384584</v>
      </c>
      <c r="FR50" s="926">
        <v>392124514.12537074</v>
      </c>
      <c r="FS50">
        <v>1</v>
      </c>
      <c r="FU50" s="2"/>
      <c r="FV50" s="788">
        <f>FM50/FL50</f>
        <v>67.754273504273499</v>
      </c>
    </row>
    <row r="51" spans="1:178" ht="16" customHeight="1">
      <c r="A51">
        <v>2019</v>
      </c>
      <c r="B51">
        <v>1370</v>
      </c>
      <c r="C51" t="s">
        <v>255</v>
      </c>
      <c r="D51" t="s">
        <v>245</v>
      </c>
      <c r="E51" s="203">
        <v>94</v>
      </c>
      <c r="F51" s="203" t="s">
        <v>256</v>
      </c>
      <c r="G51" s="203" t="s">
        <v>247</v>
      </c>
      <c r="H51" s="204" t="s">
        <v>249</v>
      </c>
      <c r="I51" s="202">
        <v>0</v>
      </c>
      <c r="J51" s="202">
        <v>0</v>
      </c>
      <c r="K51" s="202">
        <v>0</v>
      </c>
      <c r="L51" s="253"/>
      <c r="M51" s="254">
        <v>2019</v>
      </c>
      <c r="N51" s="254">
        <v>3740</v>
      </c>
      <c r="O51" s="255" t="s">
        <v>244</v>
      </c>
      <c r="P51" s="254">
        <v>410</v>
      </c>
      <c r="Q51" s="254">
        <v>233</v>
      </c>
      <c r="R51" s="255" t="s">
        <v>36</v>
      </c>
      <c r="S51" s="255" t="s">
        <v>152</v>
      </c>
      <c r="T51" s="350">
        <v>0</v>
      </c>
      <c r="U51" s="350">
        <v>0</v>
      </c>
      <c r="V51" s="350">
        <v>0</v>
      </c>
      <c r="W51" s="350">
        <v>0</v>
      </c>
      <c r="X51" s="350">
        <v>0</v>
      </c>
      <c r="AA51" s="272">
        <v>2019</v>
      </c>
      <c r="AB51" s="272">
        <v>1370</v>
      </c>
      <c r="AC51" s="273" t="s">
        <v>255</v>
      </c>
      <c r="AD51" s="272" t="s">
        <v>489</v>
      </c>
      <c r="AE51" s="272">
        <v>54</v>
      </c>
      <c r="AF51" s="274" t="s">
        <v>493</v>
      </c>
      <c r="AG51" s="272">
        <v>0</v>
      </c>
      <c r="AH51" s="272">
        <v>22</v>
      </c>
      <c r="AI51" s="272">
        <v>0</v>
      </c>
      <c r="AJ51" s="272">
        <v>11</v>
      </c>
      <c r="AK51" s="272">
        <v>0</v>
      </c>
      <c r="AL51" s="352">
        <v>0</v>
      </c>
      <c r="AX51" s="254">
        <v>2019</v>
      </c>
      <c r="AY51" s="254">
        <v>3740</v>
      </c>
      <c r="AZ51" s="255" t="s">
        <v>244</v>
      </c>
      <c r="BA51" s="254">
        <v>410</v>
      </c>
      <c r="BB51" s="254">
        <v>320</v>
      </c>
      <c r="BC51" s="255" t="s">
        <v>555</v>
      </c>
      <c r="BD51" s="255" t="s">
        <v>202</v>
      </c>
      <c r="BE51" s="350">
        <v>0</v>
      </c>
      <c r="BF51" s="350">
        <v>0</v>
      </c>
      <c r="BG51" s="350">
        <v>-6510000</v>
      </c>
      <c r="BH51" s="350">
        <v>0</v>
      </c>
      <c r="BI51" s="350">
        <v>-6510000</v>
      </c>
      <c r="BK51" s="272">
        <v>2019</v>
      </c>
      <c r="BL51" s="272">
        <v>1550</v>
      </c>
      <c r="BM51" s="273" t="s">
        <v>258</v>
      </c>
      <c r="BN51" s="272" t="s">
        <v>588</v>
      </c>
      <c r="BO51" s="272">
        <v>65</v>
      </c>
      <c r="BP51" s="441" t="s">
        <v>595</v>
      </c>
      <c r="BQ51" s="272">
        <v>0</v>
      </c>
      <c r="BR51" s="272">
        <v>0</v>
      </c>
      <c r="BS51" s="272">
        <v>0</v>
      </c>
      <c r="BT51" s="272">
        <v>0</v>
      </c>
      <c r="BU51" s="272">
        <v>0</v>
      </c>
      <c r="BV51" s="272">
        <v>0</v>
      </c>
      <c r="BY51" t="str">
        <f t="shared" si="73"/>
        <v>S</v>
      </c>
      <c r="BZ51" s="362" t="s">
        <v>626</v>
      </c>
      <c r="CA51" s="362">
        <v>5</v>
      </c>
      <c r="CB51" s="362">
        <v>2</v>
      </c>
      <c r="CC51" s="362">
        <f t="shared" si="69"/>
        <v>53130</v>
      </c>
      <c r="CD51">
        <f t="shared" si="70"/>
        <v>26565</v>
      </c>
      <c r="CE51" s="444">
        <v>5313</v>
      </c>
      <c r="CM51" s="299">
        <v>2019</v>
      </c>
      <c r="CN51" s="299">
        <v>1370</v>
      </c>
      <c r="CO51" s="300" t="s">
        <v>255</v>
      </c>
      <c r="CP51" s="299">
        <v>755</v>
      </c>
      <c r="CQ51" s="299">
        <v>18</v>
      </c>
      <c r="CR51" s="294" t="s">
        <v>385</v>
      </c>
      <c r="CS51" s="294" t="s">
        <v>386</v>
      </c>
      <c r="CT51" s="294" t="s">
        <v>390</v>
      </c>
      <c r="CU51" s="301">
        <v>6258000</v>
      </c>
      <c r="DB51">
        <f t="shared" si="72"/>
        <v>1</v>
      </c>
      <c r="DC51" s="595" t="s">
        <v>812</v>
      </c>
      <c r="DD51" s="595" t="s">
        <v>813</v>
      </c>
      <c r="DE51" s="595" t="s">
        <v>690</v>
      </c>
      <c r="DF51" s="286">
        <v>3528</v>
      </c>
      <c r="DG51" s="286">
        <v>367212</v>
      </c>
      <c r="DH51" s="286">
        <v>19739216</v>
      </c>
      <c r="DI51" s="286">
        <v>13735599</v>
      </c>
      <c r="DJ51">
        <v>3</v>
      </c>
      <c r="DK51" s="643">
        <f t="shared" si="74"/>
        <v>679.18710494589243</v>
      </c>
      <c r="DL51" s="408">
        <f t="shared" si="75"/>
        <v>249405655.18139106</v>
      </c>
      <c r="DM51" s="286"/>
      <c r="DN51" s="286"/>
      <c r="EC51" s="598" t="s">
        <v>1603</v>
      </c>
      <c r="EE51" s="476"/>
      <c r="EF51" s="476"/>
      <c r="EG51" s="476"/>
      <c r="FA51" s="714" t="s">
        <v>800</v>
      </c>
      <c r="FB51" s="794" t="s">
        <v>1599</v>
      </c>
      <c r="FC51" s="794" t="s">
        <v>1600</v>
      </c>
      <c r="FD51" s="794" t="s">
        <v>1601</v>
      </c>
      <c r="FE51" s="794" t="s">
        <v>1689</v>
      </c>
      <c r="FF51" s="795" t="s">
        <v>1690</v>
      </c>
      <c r="FL51" s="286">
        <f>FL49+FL50</f>
        <v>7778</v>
      </c>
      <c r="FM51" s="286">
        <f>FM49+FM50</f>
        <v>688585</v>
      </c>
      <c r="FQ51" s="643">
        <f>FR51/FM51</f>
        <v>579.37508880913481</v>
      </c>
      <c r="FR51" s="926">
        <f>FR49+FR50</f>
        <v>398948995.52763808</v>
      </c>
      <c r="FT51" s="927">
        <f>-1*(PMT($EA$23,$EA$24,FQ51,$EA$25*FQ51)/(365*24))</f>
        <v>7.5054206710114868E-2</v>
      </c>
      <c r="FU51" s="790">
        <f>FT51*FV51</f>
        <v>6.6445359896482961</v>
      </c>
      <c r="FV51" s="788">
        <f>FM51/FL51</f>
        <v>88.529827719208029</v>
      </c>
    </row>
    <row r="52" spans="1:178" ht="16" customHeight="1">
      <c r="A52">
        <v>2019</v>
      </c>
      <c r="B52">
        <v>1370</v>
      </c>
      <c r="C52" t="s">
        <v>255</v>
      </c>
      <c r="D52" t="s">
        <v>245</v>
      </c>
      <c r="E52" s="203">
        <v>97</v>
      </c>
      <c r="F52" s="203" t="s">
        <v>251</v>
      </c>
      <c r="G52" s="203" t="s">
        <v>247</v>
      </c>
      <c r="H52" s="203" t="s">
        <v>248</v>
      </c>
      <c r="I52" s="202">
        <v>0</v>
      </c>
      <c r="J52" s="202">
        <v>0</v>
      </c>
      <c r="K52" s="202">
        <v>0</v>
      </c>
      <c r="L52" s="253"/>
      <c r="M52" s="254">
        <v>2019</v>
      </c>
      <c r="N52" s="254">
        <v>3740</v>
      </c>
      <c r="O52" s="255" t="s">
        <v>244</v>
      </c>
      <c r="P52" s="254">
        <v>410</v>
      </c>
      <c r="Q52" s="254">
        <v>234</v>
      </c>
      <c r="R52" s="255" t="s">
        <v>36</v>
      </c>
      <c r="S52" s="255" t="s">
        <v>153</v>
      </c>
      <c r="T52" s="350">
        <v>0</v>
      </c>
      <c r="U52" s="350">
        <v>0</v>
      </c>
      <c r="V52" s="350">
        <v>0</v>
      </c>
      <c r="W52" s="350">
        <v>0</v>
      </c>
      <c r="X52" s="350">
        <v>0</v>
      </c>
      <c r="AA52" s="272">
        <v>2019</v>
      </c>
      <c r="AB52" s="272">
        <v>1370</v>
      </c>
      <c r="AC52" s="273" t="s">
        <v>255</v>
      </c>
      <c r="AD52" s="272" t="s">
        <v>489</v>
      </c>
      <c r="AE52" s="272">
        <v>55</v>
      </c>
      <c r="AF52" s="274" t="s">
        <v>494</v>
      </c>
      <c r="AG52" s="272">
        <v>17915</v>
      </c>
      <c r="AH52" s="272">
        <v>2297</v>
      </c>
      <c r="AI52" s="272">
        <v>16605</v>
      </c>
      <c r="AJ52" s="272">
        <v>1824</v>
      </c>
      <c r="AK52" s="272">
        <v>1901757</v>
      </c>
      <c r="AL52" s="352">
        <v>114.52917795844625</v>
      </c>
      <c r="AX52" s="254">
        <v>2019</v>
      </c>
      <c r="AY52" s="254">
        <v>3740</v>
      </c>
      <c r="AZ52" s="255" t="s">
        <v>244</v>
      </c>
      <c r="BA52" s="254">
        <v>410</v>
      </c>
      <c r="BB52" s="254">
        <v>321</v>
      </c>
      <c r="BC52" s="255" t="s">
        <v>555</v>
      </c>
      <c r="BD52" s="255" t="s">
        <v>156</v>
      </c>
      <c r="BE52" s="350">
        <v>0</v>
      </c>
      <c r="BF52" s="350">
        <v>0</v>
      </c>
      <c r="BG52" s="350">
        <v>0</v>
      </c>
      <c r="BH52" s="350">
        <v>0</v>
      </c>
      <c r="BI52" s="350">
        <v>0</v>
      </c>
      <c r="BK52" s="272">
        <v>2019</v>
      </c>
      <c r="BL52" s="272">
        <v>1550</v>
      </c>
      <c r="BM52" s="273" t="s">
        <v>258</v>
      </c>
      <c r="BN52" s="272" t="s">
        <v>588</v>
      </c>
      <c r="BO52" s="272">
        <v>66</v>
      </c>
      <c r="BP52" s="441" t="s">
        <v>596</v>
      </c>
      <c r="BQ52" s="272">
        <v>0</v>
      </c>
      <c r="BR52" s="272">
        <v>0</v>
      </c>
      <c r="BS52" s="272">
        <v>0</v>
      </c>
      <c r="BT52" s="272">
        <v>0</v>
      </c>
      <c r="BU52" s="272">
        <v>0</v>
      </c>
      <c r="BV52" s="272">
        <v>0</v>
      </c>
      <c r="BY52" t="str">
        <f t="shared" si="73"/>
        <v>S</v>
      </c>
      <c r="BZ52" s="362" t="s">
        <v>627</v>
      </c>
      <c r="CA52" s="362">
        <v>5</v>
      </c>
      <c r="CB52" s="362">
        <v>2</v>
      </c>
      <c r="CC52" s="362">
        <f t="shared" si="69"/>
        <v>65100</v>
      </c>
      <c r="CD52">
        <f t="shared" si="70"/>
        <v>32550</v>
      </c>
      <c r="CE52" s="444">
        <v>6510</v>
      </c>
      <c r="CM52" s="299">
        <v>2019</v>
      </c>
      <c r="CN52" s="299">
        <v>1370</v>
      </c>
      <c r="CO52" s="300" t="s">
        <v>255</v>
      </c>
      <c r="CP52" s="299">
        <v>755</v>
      </c>
      <c r="CQ52" s="299">
        <v>19</v>
      </c>
      <c r="CR52" s="294" t="s">
        <v>385</v>
      </c>
      <c r="CS52" s="294" t="s">
        <v>386</v>
      </c>
      <c r="CT52" s="294" t="s">
        <v>391</v>
      </c>
      <c r="CU52" s="301">
        <v>12080000</v>
      </c>
      <c r="DB52">
        <f t="shared" si="72"/>
        <v>1</v>
      </c>
      <c r="DC52" s="595" t="s">
        <v>913</v>
      </c>
      <c r="DD52" s="595" t="s">
        <v>914</v>
      </c>
      <c r="DE52" s="595" t="s">
        <v>690</v>
      </c>
      <c r="DF52" s="286">
        <v>2712</v>
      </c>
      <c r="DG52" s="286">
        <v>279772</v>
      </c>
      <c r="DH52" s="286">
        <v>16097666</v>
      </c>
      <c r="DI52" s="286">
        <v>12414889.000000002</v>
      </c>
      <c r="DJ52">
        <v>3</v>
      </c>
      <c r="DK52" s="643">
        <f t="shared" si="74"/>
        <v>679.18710494589243</v>
      </c>
      <c r="DL52" s="408">
        <f t="shared" si="75"/>
        <v>190017534.72492221</v>
      </c>
      <c r="DM52" s="286"/>
      <c r="DN52" s="286"/>
      <c r="EC52" s="289" t="s">
        <v>691</v>
      </c>
      <c r="ED52" s="296">
        <v>758141</v>
      </c>
      <c r="EE52" s="478">
        <v>1</v>
      </c>
      <c r="EF52" s="296">
        <v>758141</v>
      </c>
      <c r="EG52" s="477">
        <v>2.0178512661050467</v>
      </c>
      <c r="EH52" s="594">
        <v>771674.77673614619</v>
      </c>
      <c r="EI52" s="286">
        <v>1529815.7767361463</v>
      </c>
      <c r="EJ52" s="472">
        <f t="shared" ref="EJ52:EJ54" si="78">EF52/EI52</f>
        <v>0.49557666454289662</v>
      </c>
      <c r="EK52" s="472">
        <f>1-EJ52</f>
        <v>0.50442333545710338</v>
      </c>
      <c r="EL52" s="596">
        <f>EI52/$EI$55</f>
        <v>0.12993110214889275</v>
      </c>
      <c r="EM52" s="453">
        <v>32.333333333333336</v>
      </c>
      <c r="EN52" s="453">
        <v>75.583333333333329</v>
      </c>
      <c r="EO52" s="453">
        <v>51</v>
      </c>
      <c r="EP52" s="453">
        <v>17</v>
      </c>
      <c r="EQ52" s="453">
        <v>45.9</v>
      </c>
      <c r="ER52" s="453">
        <v>28.4</v>
      </c>
      <c r="ES52" s="453">
        <v>70</v>
      </c>
      <c r="ET52" s="453">
        <v>122.5</v>
      </c>
      <c r="EU52" s="453">
        <v>112.45</v>
      </c>
      <c r="EV52" s="453">
        <v>101.80793282516049</v>
      </c>
      <c r="EW52" s="453"/>
      <c r="FA52" s="687" t="s">
        <v>695</v>
      </c>
      <c r="FB52" s="606">
        <f>FC52/EO48</f>
        <v>106.19630804861076</v>
      </c>
      <c r="FC52" s="606">
        <f>EL20</f>
        <v>6300.980944217572</v>
      </c>
      <c r="FD52" s="606">
        <f>FB52*FV54</f>
        <v>9947.9741833066328</v>
      </c>
      <c r="FE52" s="606">
        <f>FB52</f>
        <v>106.19630804861076</v>
      </c>
      <c r="FF52" s="676">
        <f>FD52*EN31</f>
        <v>411.75068060372854</v>
      </c>
      <c r="FI52" s="2" t="s">
        <v>1208</v>
      </c>
      <c r="FU52" s="2"/>
    </row>
    <row r="53" spans="1:178" ht="16" customHeight="1">
      <c r="A53">
        <v>2019</v>
      </c>
      <c r="B53">
        <v>1370</v>
      </c>
      <c r="C53" t="s">
        <v>255</v>
      </c>
      <c r="D53" t="s">
        <v>245</v>
      </c>
      <c r="E53" s="203">
        <v>98</v>
      </c>
      <c r="F53" s="203" t="s">
        <v>251</v>
      </c>
      <c r="G53" s="203" t="s">
        <v>247</v>
      </c>
      <c r="H53" s="204" t="s">
        <v>249</v>
      </c>
      <c r="I53" s="202">
        <v>0</v>
      </c>
      <c r="J53" s="202">
        <v>0</v>
      </c>
      <c r="K53" s="202">
        <v>0</v>
      </c>
      <c r="L53" s="253"/>
      <c r="M53" s="254">
        <v>2019</v>
      </c>
      <c r="N53" s="254">
        <v>3740</v>
      </c>
      <c r="O53" s="255" t="s">
        <v>244</v>
      </c>
      <c r="P53" s="254">
        <v>410</v>
      </c>
      <c r="Q53" s="254">
        <v>235</v>
      </c>
      <c r="R53" s="255" t="s">
        <v>36</v>
      </c>
      <c r="S53" s="255" t="s">
        <v>202</v>
      </c>
      <c r="T53" s="350">
        <v>0</v>
      </c>
      <c r="U53" s="350">
        <v>0</v>
      </c>
      <c r="V53" s="350">
        <v>-218421000</v>
      </c>
      <c r="W53" s="350">
        <v>0</v>
      </c>
      <c r="X53" s="350">
        <v>-218421000</v>
      </c>
      <c r="AA53" s="272">
        <v>2019</v>
      </c>
      <c r="AB53" s="272">
        <v>1550</v>
      </c>
      <c r="AC53" s="273" t="s">
        <v>258</v>
      </c>
      <c r="AD53" s="272" t="s">
        <v>489</v>
      </c>
      <c r="AE53" s="272">
        <v>36</v>
      </c>
      <c r="AF53" s="274" t="s">
        <v>387</v>
      </c>
      <c r="AG53" s="272">
        <v>0</v>
      </c>
      <c r="AH53" s="272">
        <v>0</v>
      </c>
      <c r="AI53" s="272">
        <v>0</v>
      </c>
      <c r="AJ53" s="272">
        <v>0</v>
      </c>
      <c r="AK53" s="272">
        <v>0</v>
      </c>
      <c r="AL53" s="352">
        <v>0</v>
      </c>
      <c r="AX53" s="254">
        <v>2019</v>
      </c>
      <c r="AY53" s="254">
        <v>3740</v>
      </c>
      <c r="AZ53" s="255" t="s">
        <v>244</v>
      </c>
      <c r="BA53" s="254">
        <v>410</v>
      </c>
      <c r="BB53" s="254">
        <v>322</v>
      </c>
      <c r="BC53" s="255" t="s">
        <v>555</v>
      </c>
      <c r="BD53" s="255" t="s">
        <v>158</v>
      </c>
      <c r="BE53" s="350">
        <v>255000</v>
      </c>
      <c r="BF53" s="350">
        <v>3013000</v>
      </c>
      <c r="BG53" s="350">
        <v>522000</v>
      </c>
      <c r="BH53" s="350">
        <v>0</v>
      </c>
      <c r="BI53" s="350">
        <v>3790000</v>
      </c>
      <c r="BK53" s="272">
        <v>2019</v>
      </c>
      <c r="BL53" s="272">
        <v>1550</v>
      </c>
      <c r="BM53" s="273" t="s">
        <v>258</v>
      </c>
      <c r="BN53" s="272" t="s">
        <v>588</v>
      </c>
      <c r="BO53" s="272">
        <v>67</v>
      </c>
      <c r="BP53" s="441" t="s">
        <v>597</v>
      </c>
      <c r="BQ53" s="272">
        <v>0</v>
      </c>
      <c r="BR53" s="272">
        <v>0</v>
      </c>
      <c r="BS53" s="272">
        <v>0</v>
      </c>
      <c r="BT53" s="272">
        <v>0</v>
      </c>
      <c r="BU53" s="272">
        <v>0</v>
      </c>
      <c r="BV53" s="272">
        <v>0</v>
      </c>
      <c r="BY53" t="str">
        <f t="shared" si="73"/>
        <v>S</v>
      </c>
      <c r="BZ53" s="362" t="s">
        <v>628</v>
      </c>
      <c r="CA53" s="362">
        <v>5</v>
      </c>
      <c r="CB53" s="362">
        <v>2</v>
      </c>
      <c r="CC53" s="362">
        <f t="shared" si="69"/>
        <v>1870</v>
      </c>
      <c r="CD53">
        <f t="shared" si="70"/>
        <v>935</v>
      </c>
      <c r="CE53" s="444">
        <v>187</v>
      </c>
      <c r="CM53" s="299">
        <v>2019</v>
      </c>
      <c r="CN53" s="299">
        <v>1370</v>
      </c>
      <c r="CO53" s="300" t="s">
        <v>255</v>
      </c>
      <c r="CP53" s="299">
        <v>755</v>
      </c>
      <c r="CQ53" s="299">
        <v>20</v>
      </c>
      <c r="CR53" s="294" t="s">
        <v>385</v>
      </c>
      <c r="CS53" s="294" t="s">
        <v>386</v>
      </c>
      <c r="CT53" s="294" t="s">
        <v>392</v>
      </c>
      <c r="CU53" s="301">
        <v>24885000</v>
      </c>
      <c r="DB53">
        <f t="shared" si="72"/>
        <v>10</v>
      </c>
      <c r="DC53" s="595" t="s">
        <v>915</v>
      </c>
      <c r="DD53" s="595" t="s">
        <v>916</v>
      </c>
      <c r="DE53" s="595" t="s">
        <v>690</v>
      </c>
      <c r="DF53" s="286">
        <v>12956</v>
      </c>
      <c r="DG53" s="286">
        <v>1285728</v>
      </c>
      <c r="DH53" s="286">
        <v>50036972</v>
      </c>
      <c r="DI53" s="286">
        <v>22389301</v>
      </c>
      <c r="DJ53">
        <v>14</v>
      </c>
      <c r="DK53" s="643">
        <f t="shared" si="74"/>
        <v>216.04092317551496</v>
      </c>
      <c r="DL53" s="408">
        <f t="shared" si="75"/>
        <v>277769864.07260853</v>
      </c>
      <c r="DM53" s="286"/>
      <c r="DN53" s="286"/>
      <c r="EC53" s="289" t="s">
        <v>697</v>
      </c>
      <c r="ED53" s="296">
        <v>2893814</v>
      </c>
      <c r="EE53" s="478">
        <v>1</v>
      </c>
      <c r="EF53" s="296">
        <v>2893814</v>
      </c>
      <c r="EG53" s="477">
        <v>2.0160338160588367</v>
      </c>
      <c r="EH53" s="594">
        <v>2940212.8813844863</v>
      </c>
      <c r="EI53" s="286">
        <v>5834026.8813844863</v>
      </c>
      <c r="EJ53" s="472">
        <f t="shared" si="78"/>
        <v>0.49602342581480569</v>
      </c>
      <c r="EK53" s="472">
        <f t="shared" ref="EK53:EK54" si="79">1-EJ53</f>
        <v>0.50397657418519426</v>
      </c>
      <c r="EL53" s="596">
        <f t="shared" ref="EL53:EL54" si="80">EI53/$EI$55</f>
        <v>0.49549857845092221</v>
      </c>
      <c r="EM53" s="453">
        <v>28.583333333333332</v>
      </c>
      <c r="EN53" s="453">
        <v>111.5</v>
      </c>
      <c r="EO53" s="453">
        <v>53.083333333333336</v>
      </c>
      <c r="EP53" s="453">
        <v>17</v>
      </c>
      <c r="EQ53" s="453">
        <v>66.25</v>
      </c>
      <c r="ER53" s="453">
        <v>21.9</v>
      </c>
      <c r="ES53" s="453">
        <v>78.8</v>
      </c>
      <c r="ET53" s="453">
        <v>248.75</v>
      </c>
      <c r="EU53" s="453">
        <v>121.15</v>
      </c>
      <c r="EV53" s="453">
        <v>117.38725605723107</v>
      </c>
      <c r="EW53" s="453"/>
      <c r="FA53" s="544" t="s">
        <v>1796</v>
      </c>
      <c r="FB53" s="715">
        <f>FB55</f>
        <v>63.103742277636805</v>
      </c>
      <c r="FC53" s="4"/>
      <c r="FD53" s="4"/>
      <c r="FE53" s="4"/>
      <c r="FF53" s="659" t="s">
        <v>1691</v>
      </c>
      <c r="FH53" t="s">
        <v>797</v>
      </c>
      <c r="FI53" t="s">
        <v>804</v>
      </c>
      <c r="FJ53" t="s">
        <v>805</v>
      </c>
      <c r="FK53" t="s">
        <v>800</v>
      </c>
      <c r="FL53" t="s">
        <v>678</v>
      </c>
      <c r="FM53" t="s">
        <v>794</v>
      </c>
      <c r="FN53" t="s">
        <v>353</v>
      </c>
      <c r="FO53" t="s">
        <v>803</v>
      </c>
      <c r="FP53" t="s">
        <v>1627</v>
      </c>
      <c r="FQ53" t="s">
        <v>1628</v>
      </c>
      <c r="FR53" t="s">
        <v>1680</v>
      </c>
      <c r="FS53" t="s">
        <v>1815</v>
      </c>
      <c r="FU53" s="2"/>
    </row>
    <row r="54" spans="1:178" ht="16" customHeight="1">
      <c r="A54">
        <v>2019</v>
      </c>
      <c r="B54">
        <v>2670</v>
      </c>
      <c r="C54" t="s">
        <v>257</v>
      </c>
      <c r="D54" t="s">
        <v>245</v>
      </c>
      <c r="E54" s="203">
        <v>91</v>
      </c>
      <c r="F54" s="203" t="s">
        <v>246</v>
      </c>
      <c r="G54" s="203" t="s">
        <v>247</v>
      </c>
      <c r="H54" s="203" t="s">
        <v>248</v>
      </c>
      <c r="I54" s="202">
        <v>0</v>
      </c>
      <c r="J54" s="202">
        <v>0</v>
      </c>
      <c r="K54" s="202">
        <v>0</v>
      </c>
      <c r="L54" s="253"/>
      <c r="M54" s="254">
        <v>2019</v>
      </c>
      <c r="N54" s="254">
        <v>3740</v>
      </c>
      <c r="O54" s="255" t="s">
        <v>244</v>
      </c>
      <c r="P54" s="254">
        <v>410</v>
      </c>
      <c r="Q54" s="254">
        <v>236</v>
      </c>
      <c r="R54" s="255" t="s">
        <v>36</v>
      </c>
      <c r="S54" s="255" t="s">
        <v>156</v>
      </c>
      <c r="T54" s="350">
        <v>0</v>
      </c>
      <c r="U54" s="350">
        <v>0</v>
      </c>
      <c r="V54" s="350">
        <v>0</v>
      </c>
      <c r="W54" s="350">
        <v>0</v>
      </c>
      <c r="X54" s="350">
        <v>0</v>
      </c>
      <c r="AA54" s="272">
        <v>2019</v>
      </c>
      <c r="AB54" s="272">
        <v>1550</v>
      </c>
      <c r="AC54" s="273" t="s">
        <v>258</v>
      </c>
      <c r="AD54" s="272" t="s">
        <v>489</v>
      </c>
      <c r="AE54" s="272">
        <v>37</v>
      </c>
      <c r="AF54" s="274" t="s">
        <v>388</v>
      </c>
      <c r="AG54" s="272">
        <v>373</v>
      </c>
      <c r="AH54" s="272">
        <v>0</v>
      </c>
      <c r="AI54" s="272">
        <v>12</v>
      </c>
      <c r="AJ54" s="272">
        <v>0</v>
      </c>
      <c r="AK54" s="272">
        <v>894</v>
      </c>
      <c r="AL54" s="352">
        <v>74.5</v>
      </c>
      <c r="AX54" s="254">
        <v>2019</v>
      </c>
      <c r="AY54" s="254">
        <v>3740</v>
      </c>
      <c r="AZ54" s="255" t="s">
        <v>244</v>
      </c>
      <c r="BA54" s="254">
        <v>410</v>
      </c>
      <c r="BB54" s="254">
        <v>323</v>
      </c>
      <c r="BC54" s="255" t="s">
        <v>555</v>
      </c>
      <c r="BD54" s="255" t="s">
        <v>562</v>
      </c>
      <c r="BE54" s="350">
        <v>2838000</v>
      </c>
      <c r="BF54" s="350">
        <v>31078000</v>
      </c>
      <c r="BG54" s="350">
        <v>249247000</v>
      </c>
      <c r="BH54" s="350">
        <v>162666000</v>
      </c>
      <c r="BI54" s="350">
        <v>445829000</v>
      </c>
      <c r="BK54" s="272">
        <v>2019</v>
      </c>
      <c r="BL54" s="272">
        <v>1550</v>
      </c>
      <c r="BM54" s="273" t="s">
        <v>258</v>
      </c>
      <c r="BN54" s="272" t="s">
        <v>588</v>
      </c>
      <c r="BO54" s="272">
        <v>68</v>
      </c>
      <c r="BP54" s="441" t="s">
        <v>598</v>
      </c>
      <c r="BQ54" s="272">
        <v>0</v>
      </c>
      <c r="BR54" s="272">
        <v>0</v>
      </c>
      <c r="BS54" s="272">
        <v>0</v>
      </c>
      <c r="BT54" s="272">
        <v>0</v>
      </c>
      <c r="BU54" s="272">
        <v>0</v>
      </c>
      <c r="BV54" s="272">
        <v>0</v>
      </c>
      <c r="BY54" t="str">
        <f t="shared" si="73"/>
        <v>S</v>
      </c>
      <c r="BZ54" s="362" t="s">
        <v>629</v>
      </c>
      <c r="CA54" s="362">
        <v>5</v>
      </c>
      <c r="CB54" s="362">
        <v>2</v>
      </c>
      <c r="CC54" s="362">
        <f t="shared" si="69"/>
        <v>1640</v>
      </c>
      <c r="CD54">
        <f t="shared" si="70"/>
        <v>820</v>
      </c>
      <c r="CE54" s="444">
        <v>164</v>
      </c>
      <c r="CM54" s="299">
        <v>2019</v>
      </c>
      <c r="CN54" s="299">
        <v>1370</v>
      </c>
      <c r="CO54" s="300" t="s">
        <v>255</v>
      </c>
      <c r="CP54" s="299">
        <v>755</v>
      </c>
      <c r="CQ54" s="299">
        <v>21</v>
      </c>
      <c r="CR54" s="294" t="s">
        <v>385</v>
      </c>
      <c r="CS54" s="294" t="s">
        <v>386</v>
      </c>
      <c r="CT54" s="294" t="s">
        <v>393</v>
      </c>
      <c r="CU54" s="301">
        <v>5223000</v>
      </c>
      <c r="DB54">
        <f t="shared" si="72"/>
        <v>10</v>
      </c>
      <c r="DC54" s="595" t="s">
        <v>917</v>
      </c>
      <c r="DD54" s="595" t="s">
        <v>918</v>
      </c>
      <c r="DE54" s="595" t="s">
        <v>690</v>
      </c>
      <c r="DF54" s="286">
        <v>9112</v>
      </c>
      <c r="DG54" s="286">
        <v>922152</v>
      </c>
      <c r="DH54" s="286">
        <v>11238040</v>
      </c>
      <c r="DI54" s="286">
        <v>3528263</v>
      </c>
      <c r="DJ54">
        <v>14</v>
      </c>
      <c r="DK54" s="643">
        <f t="shared" si="74"/>
        <v>216.04092317551496</v>
      </c>
      <c r="DL54" s="408">
        <f t="shared" si="75"/>
        <v>199222569.38814747</v>
      </c>
      <c r="DM54" s="286"/>
      <c r="DN54" s="286"/>
      <c r="EC54" s="289" t="s">
        <v>698</v>
      </c>
      <c r="ED54" s="296">
        <v>2187568</v>
      </c>
      <c r="EE54" s="478">
        <v>1</v>
      </c>
      <c r="EF54" s="296">
        <v>2187568</v>
      </c>
      <c r="EG54" s="477">
        <v>2.0160338160588367</v>
      </c>
      <c r="EH54" s="594">
        <v>2222643.0629281974</v>
      </c>
      <c r="EI54" s="286">
        <v>4410211.0629281979</v>
      </c>
      <c r="EJ54" s="472">
        <f t="shared" si="78"/>
        <v>0.49602342581480563</v>
      </c>
      <c r="EK54" s="472">
        <f t="shared" si="79"/>
        <v>0.50397657418519437</v>
      </c>
      <c r="EL54" s="596">
        <f t="shared" si="80"/>
        <v>0.37457031940018509</v>
      </c>
      <c r="EM54" s="453">
        <v>24</v>
      </c>
      <c r="EN54" s="453">
        <v>166.58333333333334</v>
      </c>
      <c r="EO54" s="453">
        <v>53.083333333333336</v>
      </c>
      <c r="EP54" s="453">
        <v>16.5</v>
      </c>
      <c r="EQ54" s="453">
        <v>79.8</v>
      </c>
      <c r="ER54" s="453">
        <v>24.8</v>
      </c>
      <c r="ES54" s="453">
        <v>69.5</v>
      </c>
      <c r="ET54" s="453">
        <v>340.2</v>
      </c>
      <c r="EU54" s="453">
        <v>118.15</v>
      </c>
      <c r="EV54" s="453">
        <v>112.46038248868147</v>
      </c>
      <c r="EW54" s="453"/>
      <c r="FA54" s="714" t="s">
        <v>800</v>
      </c>
      <c r="FB54" s="794" t="s">
        <v>1599</v>
      </c>
      <c r="FC54" s="794" t="s">
        <v>1600</v>
      </c>
      <c r="FD54" s="794" t="s">
        <v>1601</v>
      </c>
      <c r="FE54" s="794" t="s">
        <v>1689</v>
      </c>
      <c r="FF54" s="795" t="s">
        <v>1690</v>
      </c>
      <c r="FH54">
        <v>13</v>
      </c>
      <c r="FI54" t="s">
        <v>1087</v>
      </c>
      <c r="FJ54" t="s">
        <v>1088</v>
      </c>
      <c r="FK54" t="s">
        <v>695</v>
      </c>
      <c r="FL54" s="286">
        <v>498740</v>
      </c>
      <c r="FM54" s="286">
        <v>46719634.000000007</v>
      </c>
      <c r="FN54" s="286">
        <v>1591782403</v>
      </c>
      <c r="FO54" s="286">
        <v>1130959573</v>
      </c>
      <c r="FP54">
        <v>16</v>
      </c>
      <c r="FQ54" s="925">
        <v>319.51291727084612</v>
      </c>
      <c r="FR54" s="926">
        <v>14927526553.166212</v>
      </c>
      <c r="FS54">
        <v>1</v>
      </c>
      <c r="FU54" s="2"/>
      <c r="FV54" s="788">
        <f>FM54/FL54</f>
        <v>93.675329831174579</v>
      </c>
    </row>
    <row r="55" spans="1:178" ht="16" customHeight="1">
      <c r="A55">
        <v>2019</v>
      </c>
      <c r="B55">
        <v>2670</v>
      </c>
      <c r="C55" t="s">
        <v>257</v>
      </c>
      <c r="D55" t="s">
        <v>245</v>
      </c>
      <c r="E55" s="203">
        <v>92</v>
      </c>
      <c r="F55" s="203" t="s">
        <v>246</v>
      </c>
      <c r="G55" s="203" t="s">
        <v>247</v>
      </c>
      <c r="H55" s="204" t="s">
        <v>249</v>
      </c>
      <c r="I55" s="202">
        <v>0</v>
      </c>
      <c r="J55" s="202">
        <v>0</v>
      </c>
      <c r="K55" s="202">
        <v>0</v>
      </c>
      <c r="L55" s="253"/>
      <c r="M55" s="254">
        <v>2019</v>
      </c>
      <c r="N55" s="254">
        <v>3740</v>
      </c>
      <c r="O55" s="255" t="s">
        <v>244</v>
      </c>
      <c r="P55" s="254">
        <v>410</v>
      </c>
      <c r="Q55" s="254">
        <v>237</v>
      </c>
      <c r="R55" s="255" t="s">
        <v>36</v>
      </c>
      <c r="S55" s="255" t="s">
        <v>158</v>
      </c>
      <c r="T55" s="350">
        <v>1000</v>
      </c>
      <c r="U55" s="350">
        <v>0</v>
      </c>
      <c r="V55" s="350">
        <v>0</v>
      </c>
      <c r="W55" s="350">
        <v>1000</v>
      </c>
      <c r="X55" s="350">
        <v>2000</v>
      </c>
      <c r="AA55" s="272">
        <v>2019</v>
      </c>
      <c r="AB55" s="272">
        <v>1550</v>
      </c>
      <c r="AC55" s="273" t="s">
        <v>258</v>
      </c>
      <c r="AD55" s="272" t="s">
        <v>489</v>
      </c>
      <c r="AE55" s="272">
        <v>38</v>
      </c>
      <c r="AF55" s="274" t="s">
        <v>389</v>
      </c>
      <c r="AG55" s="272">
        <v>8003</v>
      </c>
      <c r="AH55" s="272">
        <v>0</v>
      </c>
      <c r="AI55" s="272">
        <v>5167</v>
      </c>
      <c r="AJ55" s="272">
        <v>0</v>
      </c>
      <c r="AK55" s="272">
        <v>387721</v>
      </c>
      <c r="AL55" s="352">
        <v>75.037933036578281</v>
      </c>
      <c r="AX55" s="254">
        <v>2019</v>
      </c>
      <c r="AY55" s="254">
        <v>3680</v>
      </c>
      <c r="AZ55" s="255" t="s">
        <v>252</v>
      </c>
      <c r="BA55" s="254">
        <v>410</v>
      </c>
      <c r="BB55" s="254">
        <v>301</v>
      </c>
      <c r="BC55" s="255" t="s">
        <v>555</v>
      </c>
      <c r="BD55" s="255" t="s">
        <v>203</v>
      </c>
      <c r="BE55" s="350">
        <v>0</v>
      </c>
      <c r="BF55" s="350">
        <v>0</v>
      </c>
      <c r="BG55" s="350">
        <v>59000</v>
      </c>
      <c r="BH55" s="350">
        <v>0</v>
      </c>
      <c r="BI55" s="350">
        <v>59000</v>
      </c>
      <c r="BK55" s="272">
        <v>2019</v>
      </c>
      <c r="BL55" s="272">
        <v>1550</v>
      </c>
      <c r="BM55" s="273" t="s">
        <v>258</v>
      </c>
      <c r="BN55" s="272" t="s">
        <v>588</v>
      </c>
      <c r="BO55" s="272">
        <v>69</v>
      </c>
      <c r="BP55" s="441" t="s">
        <v>599</v>
      </c>
      <c r="BQ55" s="272">
        <v>0</v>
      </c>
      <c r="BR55" s="272">
        <v>0</v>
      </c>
      <c r="BS55" s="272">
        <v>0</v>
      </c>
      <c r="BT55" s="272">
        <v>0</v>
      </c>
      <c r="BU55" s="272">
        <v>0</v>
      </c>
      <c r="BV55" s="272">
        <v>0</v>
      </c>
      <c r="BY55" t="str">
        <f t="shared" si="73"/>
        <v>S</v>
      </c>
      <c r="BZ55" s="362" t="s">
        <v>630</v>
      </c>
      <c r="CA55" s="362">
        <v>5</v>
      </c>
      <c r="CB55" s="362">
        <v>2</v>
      </c>
      <c r="CC55" s="362">
        <f t="shared" si="69"/>
        <v>1650</v>
      </c>
      <c r="CD55">
        <f t="shared" si="70"/>
        <v>825</v>
      </c>
      <c r="CE55" s="444">
        <v>165</v>
      </c>
      <c r="CM55" s="299">
        <v>2019</v>
      </c>
      <c r="CN55" s="299">
        <v>1370</v>
      </c>
      <c r="CO55" s="300" t="s">
        <v>255</v>
      </c>
      <c r="CP55" s="299">
        <v>755</v>
      </c>
      <c r="CQ55" s="299">
        <v>22</v>
      </c>
      <c r="CR55" s="294" t="s">
        <v>385</v>
      </c>
      <c r="CS55" s="294" t="s">
        <v>386</v>
      </c>
      <c r="CT55" s="294" t="s">
        <v>394</v>
      </c>
      <c r="CU55" s="301">
        <v>27133000</v>
      </c>
      <c r="DB55">
        <f t="shared" si="72"/>
        <v>11</v>
      </c>
      <c r="DC55" s="595" t="s">
        <v>1077</v>
      </c>
      <c r="DD55" s="595" t="s">
        <v>1078</v>
      </c>
      <c r="DE55" s="595" t="s">
        <v>691</v>
      </c>
      <c r="DF55" s="286">
        <v>336518</v>
      </c>
      <c r="DG55" s="286">
        <v>37421846.000000007</v>
      </c>
      <c r="DH55" s="286">
        <v>699320987</v>
      </c>
      <c r="DI55" s="286">
        <v>368297851</v>
      </c>
      <c r="DJ55">
        <v>15</v>
      </c>
      <c r="DK55" s="643">
        <f t="shared" si="74"/>
        <v>43.273741284778055</v>
      </c>
      <c r="DL55" s="408">
        <f t="shared" si="75"/>
        <v>1619383282.2028067</v>
      </c>
      <c r="DM55" s="286"/>
      <c r="DN55" s="286"/>
      <c r="EC55" s="598"/>
      <c r="ED55" s="286">
        <f>SUM(ED52:ED54)</f>
        <v>5839523</v>
      </c>
      <c r="EF55" s="286">
        <f>SUM(EF52:EF54)</f>
        <v>5839523</v>
      </c>
      <c r="EH55" s="286">
        <f>SUM(EH52:EH54)</f>
        <v>5934530.7210488301</v>
      </c>
      <c r="EI55" s="286">
        <f>SUM(EI52:EI54)</f>
        <v>11774053.72104883</v>
      </c>
      <c r="EL55" s="596">
        <f>SUM(EL52:EL54)</f>
        <v>1</v>
      </c>
      <c r="EO55" s="788">
        <f>((EO52*EL52)+(EO53*EL53)+(EO54*EL54))/EL55</f>
        <v>52.812643537189814</v>
      </c>
      <c r="FA55" s="687" t="s">
        <v>701</v>
      </c>
      <c r="FB55" s="606">
        <f>FC55/EO86</f>
        <v>63.103742277636805</v>
      </c>
      <c r="FC55" s="606">
        <f>EW16</f>
        <v>5537.3533848626294</v>
      </c>
      <c r="FD55" s="606">
        <f>FB55*EV86</f>
        <v>6197.3114242779948</v>
      </c>
      <c r="FE55" s="606">
        <f>FB55</f>
        <v>63.103742277636805</v>
      </c>
      <c r="FF55" s="676">
        <f>FB55*EA12</f>
        <v>214.31561892770287</v>
      </c>
      <c r="FH55">
        <v>28</v>
      </c>
      <c r="FI55" t="s">
        <v>1145</v>
      </c>
      <c r="FJ55" t="s">
        <v>1146</v>
      </c>
      <c r="FK55" t="s">
        <v>695</v>
      </c>
      <c r="FL55" s="286">
        <v>549947</v>
      </c>
      <c r="FM55" s="286">
        <v>51748361.000000007</v>
      </c>
      <c r="FN55" s="286">
        <v>1952107910.0000002</v>
      </c>
      <c r="FO55" s="286">
        <v>1090793661</v>
      </c>
      <c r="FP55">
        <v>17</v>
      </c>
      <c r="FQ55" s="925">
        <v>519.17405707126977</v>
      </c>
      <c r="FR55" s="926">
        <v>26866406527.158676</v>
      </c>
      <c r="FS55">
        <v>1</v>
      </c>
      <c r="FU55" s="2"/>
      <c r="FV55" s="788">
        <f>FM55/FL55</f>
        <v>94.096996619674272</v>
      </c>
    </row>
    <row r="56" spans="1:178" ht="16" customHeight="1">
      <c r="A56">
        <v>2019</v>
      </c>
      <c r="B56">
        <v>2670</v>
      </c>
      <c r="C56" t="s">
        <v>257</v>
      </c>
      <c r="D56" t="s">
        <v>245</v>
      </c>
      <c r="E56" s="203">
        <v>93</v>
      </c>
      <c r="F56" s="203" t="s">
        <v>250</v>
      </c>
      <c r="G56" s="203" t="s">
        <v>247</v>
      </c>
      <c r="H56" s="203" t="s">
        <v>248</v>
      </c>
      <c r="I56" s="202">
        <v>0</v>
      </c>
      <c r="J56" s="202">
        <v>0</v>
      </c>
      <c r="K56" s="202">
        <v>0</v>
      </c>
      <c r="L56" s="253"/>
      <c r="M56" s="254">
        <v>2019</v>
      </c>
      <c r="N56" s="254">
        <v>3680</v>
      </c>
      <c r="O56" s="255" t="s">
        <v>252</v>
      </c>
      <c r="P56" s="254">
        <v>410</v>
      </c>
      <c r="Q56" s="254">
        <v>220</v>
      </c>
      <c r="R56" s="255" t="s">
        <v>36</v>
      </c>
      <c r="S56" s="255" t="s">
        <v>203</v>
      </c>
      <c r="T56" s="350">
        <v>2943000</v>
      </c>
      <c r="U56" s="350">
        <v>11000</v>
      </c>
      <c r="V56" s="350">
        <v>361000</v>
      </c>
      <c r="W56" s="350">
        <v>45000</v>
      </c>
      <c r="X56" s="350">
        <v>3360000</v>
      </c>
      <c r="AA56" s="272">
        <v>2019</v>
      </c>
      <c r="AB56" s="272">
        <v>1550</v>
      </c>
      <c r="AC56" s="273" t="s">
        <v>258</v>
      </c>
      <c r="AD56" s="272" t="s">
        <v>489</v>
      </c>
      <c r="AE56" s="272">
        <v>39</v>
      </c>
      <c r="AF56" s="274" t="s">
        <v>390</v>
      </c>
      <c r="AG56" s="272">
        <v>16410</v>
      </c>
      <c r="AH56" s="272">
        <v>0</v>
      </c>
      <c r="AI56" s="272">
        <v>14816</v>
      </c>
      <c r="AJ56" s="272">
        <v>0</v>
      </c>
      <c r="AK56" s="272">
        <v>1383480</v>
      </c>
      <c r="AL56" s="352">
        <v>93.377429805615549</v>
      </c>
      <c r="AX56" s="254">
        <v>2019</v>
      </c>
      <c r="AY56" s="254">
        <v>3680</v>
      </c>
      <c r="AZ56" s="255" t="s">
        <v>252</v>
      </c>
      <c r="BA56" s="254">
        <v>410</v>
      </c>
      <c r="BB56" s="254">
        <v>302</v>
      </c>
      <c r="BC56" s="255" t="s">
        <v>555</v>
      </c>
      <c r="BD56" s="255" t="s">
        <v>556</v>
      </c>
      <c r="BE56" s="350">
        <v>0</v>
      </c>
      <c r="BF56" s="350">
        <v>0</v>
      </c>
      <c r="BG56" s="350">
        <v>424000</v>
      </c>
      <c r="BH56" s="350">
        <v>0</v>
      </c>
      <c r="BI56" s="350">
        <v>424000</v>
      </c>
      <c r="BK56" s="272">
        <v>2019</v>
      </c>
      <c r="BL56" s="272">
        <v>1550</v>
      </c>
      <c r="BM56" s="273" t="s">
        <v>258</v>
      </c>
      <c r="BN56" s="272" t="s">
        <v>588</v>
      </c>
      <c r="BO56" s="272">
        <v>70</v>
      </c>
      <c r="BP56" s="441" t="s">
        <v>600</v>
      </c>
      <c r="BQ56" s="272">
        <v>0</v>
      </c>
      <c r="BR56" s="272">
        <v>52702</v>
      </c>
      <c r="BS56" s="272">
        <v>0</v>
      </c>
      <c r="BT56" s="272">
        <v>53958</v>
      </c>
      <c r="BU56" s="272">
        <v>566147</v>
      </c>
      <c r="BV56" s="272">
        <v>0</v>
      </c>
      <c r="BY56" t="str">
        <f t="shared" si="73"/>
        <v>S</v>
      </c>
      <c r="BZ56" s="362" t="s">
        <v>631</v>
      </c>
      <c r="CA56" s="362">
        <v>5</v>
      </c>
      <c r="CB56" s="362">
        <v>2</v>
      </c>
      <c r="CC56" s="362">
        <f t="shared" si="69"/>
        <v>8180</v>
      </c>
      <c r="CD56">
        <f t="shared" si="70"/>
        <v>4090</v>
      </c>
      <c r="CE56" s="444">
        <v>818</v>
      </c>
      <c r="CM56" s="299">
        <v>2019</v>
      </c>
      <c r="CN56" s="299">
        <v>1370</v>
      </c>
      <c r="CO56" s="300" t="s">
        <v>255</v>
      </c>
      <c r="CP56" s="299">
        <v>755</v>
      </c>
      <c r="CQ56" s="299">
        <v>23</v>
      </c>
      <c r="CR56" s="294" t="s">
        <v>385</v>
      </c>
      <c r="CS56" s="294" t="s">
        <v>386</v>
      </c>
      <c r="CT56" s="294" t="s">
        <v>395</v>
      </c>
      <c r="CU56" s="301">
        <v>70000</v>
      </c>
      <c r="DB56">
        <f t="shared" si="72"/>
        <v>11</v>
      </c>
      <c r="DC56" s="595" t="s">
        <v>1077</v>
      </c>
      <c r="DD56" s="595" t="s">
        <v>1078</v>
      </c>
      <c r="DE56" s="595" t="s">
        <v>697</v>
      </c>
      <c r="DF56" s="286">
        <v>2705188</v>
      </c>
      <c r="DG56" s="286">
        <v>320651931.00000006</v>
      </c>
      <c r="DH56" s="286">
        <v>5602720049.000001</v>
      </c>
      <c r="DI56" s="286">
        <v>3684478639</v>
      </c>
      <c r="DJ56">
        <v>15</v>
      </c>
      <c r="DK56" s="643">
        <f t="shared" si="74"/>
        <v>43.273741284778055</v>
      </c>
      <c r="DL56" s="408">
        <f t="shared" si="75"/>
        <v>13875808704.558506</v>
      </c>
      <c r="DM56" s="286"/>
      <c r="DN56" s="286"/>
      <c r="EC56" s="598" t="s">
        <v>1788</v>
      </c>
      <c r="ED56" s="296"/>
      <c r="EE56" s="478"/>
      <c r="EF56" s="296"/>
      <c r="EG56" s="477"/>
      <c r="EH56" s="594"/>
      <c r="EI56" s="286"/>
      <c r="EJ56" s="472"/>
      <c r="EK56" s="472"/>
      <c r="EL56" s="596"/>
      <c r="EM56" s="453"/>
      <c r="EN56" s="453"/>
      <c r="EO56" s="453"/>
      <c r="EP56" s="453"/>
      <c r="EQ56" s="453"/>
      <c r="ER56" s="453"/>
      <c r="ES56" s="453"/>
      <c r="ET56" s="453"/>
      <c r="EU56" s="453"/>
      <c r="EV56" s="453"/>
      <c r="FA56" s="544" t="s">
        <v>1800</v>
      </c>
      <c r="FB56" s="715">
        <f>FB58</f>
        <v>68.858280433524925</v>
      </c>
      <c r="FC56" s="4"/>
      <c r="FD56" s="4"/>
      <c r="FE56" s="4"/>
      <c r="FF56" s="659" t="s">
        <v>1691</v>
      </c>
      <c r="FL56" s="286">
        <f>FL54+FL55</f>
        <v>1048687</v>
      </c>
      <c r="FM56" s="286">
        <f>FM54+FM55</f>
        <v>98467995.000000015</v>
      </c>
      <c r="FQ56" s="643">
        <f>FR56/FM56</f>
        <v>424.441800407583</v>
      </c>
      <c r="FR56" s="926">
        <f>FR54+FR55</f>
        <v>41793933080.32489</v>
      </c>
      <c r="FT56" s="927">
        <f>-1*(PMT($EA$23,$EA$24,FQ56,$EA$25*FQ56)/(365*24))</f>
        <v>5.4983625011703792E-2</v>
      </c>
      <c r="FU56" s="790">
        <f>FT56*FV56</f>
        <v>5.1627676444299633</v>
      </c>
      <c r="FV56" s="788">
        <f>FM56/FL56</f>
        <v>93.896458142420016</v>
      </c>
    </row>
    <row r="57" spans="1:178" ht="16" customHeight="1">
      <c r="A57">
        <v>2019</v>
      </c>
      <c r="B57">
        <v>2670</v>
      </c>
      <c r="C57" t="s">
        <v>257</v>
      </c>
      <c r="D57" t="s">
        <v>245</v>
      </c>
      <c r="E57" s="203">
        <v>94</v>
      </c>
      <c r="F57" s="203" t="s">
        <v>250</v>
      </c>
      <c r="G57" s="203" t="s">
        <v>247</v>
      </c>
      <c r="H57" s="204" t="s">
        <v>249</v>
      </c>
      <c r="I57" s="202">
        <v>0</v>
      </c>
      <c r="J57" s="202">
        <v>0</v>
      </c>
      <c r="K57" s="202">
        <v>0</v>
      </c>
      <c r="L57" s="253"/>
      <c r="M57" s="254">
        <v>2019</v>
      </c>
      <c r="N57" s="254">
        <v>3680</v>
      </c>
      <c r="O57" s="255" t="s">
        <v>252</v>
      </c>
      <c r="P57" s="254">
        <v>410</v>
      </c>
      <c r="Q57" s="254">
        <v>221</v>
      </c>
      <c r="R57" s="255" t="s">
        <v>36</v>
      </c>
      <c r="S57" s="255" t="s">
        <v>197</v>
      </c>
      <c r="T57" s="350">
        <v>5217000</v>
      </c>
      <c r="U57" s="350">
        <v>27024000</v>
      </c>
      <c r="V57" s="350">
        <v>18743000</v>
      </c>
      <c r="W57" s="350">
        <v>230000</v>
      </c>
      <c r="X57" s="350">
        <v>51214000</v>
      </c>
      <c r="AA57" s="272">
        <v>2019</v>
      </c>
      <c r="AB57" s="272">
        <v>1550</v>
      </c>
      <c r="AC57" s="273" t="s">
        <v>258</v>
      </c>
      <c r="AD57" s="272" t="s">
        <v>489</v>
      </c>
      <c r="AE57" s="272">
        <v>40</v>
      </c>
      <c r="AF57" s="274" t="s">
        <v>391</v>
      </c>
      <c r="AG57" s="272">
        <v>12406</v>
      </c>
      <c r="AH57" s="272">
        <v>0</v>
      </c>
      <c r="AI57" s="272">
        <v>10710</v>
      </c>
      <c r="AJ57" s="272">
        <v>0</v>
      </c>
      <c r="AK57" s="272">
        <v>1070945</v>
      </c>
      <c r="AL57" s="352">
        <v>99.994864612511677</v>
      </c>
      <c r="AX57" s="254">
        <v>2019</v>
      </c>
      <c r="AY57" s="254">
        <v>3680</v>
      </c>
      <c r="AZ57" s="255" t="s">
        <v>252</v>
      </c>
      <c r="BA57" s="254">
        <v>410</v>
      </c>
      <c r="BB57" s="254">
        <v>303</v>
      </c>
      <c r="BC57" s="255" t="s">
        <v>555</v>
      </c>
      <c r="BD57" s="255" t="s">
        <v>557</v>
      </c>
      <c r="BE57" s="350">
        <v>0</v>
      </c>
      <c r="BF57" s="350">
        <v>0</v>
      </c>
      <c r="BG57" s="350">
        <v>0</v>
      </c>
      <c r="BH57" s="350">
        <v>0</v>
      </c>
      <c r="BI57" s="350">
        <v>0</v>
      </c>
      <c r="BK57" s="272">
        <v>2019</v>
      </c>
      <c r="BL57" s="272">
        <v>2670</v>
      </c>
      <c r="BM57" s="273" t="s">
        <v>257</v>
      </c>
      <c r="BN57" s="272" t="s">
        <v>588</v>
      </c>
      <c r="BO57" s="272">
        <v>59</v>
      </c>
      <c r="BP57" s="441" t="s">
        <v>589</v>
      </c>
      <c r="BQ57" s="272">
        <v>0</v>
      </c>
      <c r="BR57" s="272">
        <v>0</v>
      </c>
      <c r="BS57" s="272">
        <v>0</v>
      </c>
      <c r="BT57" s="272">
        <v>0</v>
      </c>
      <c r="BU57" s="272">
        <v>0</v>
      </c>
      <c r="BV57" s="272">
        <v>0</v>
      </c>
      <c r="BY57" t="str">
        <f t="shared" si="73"/>
        <v>S</v>
      </c>
      <c r="BZ57" s="362" t="s">
        <v>632</v>
      </c>
      <c r="CA57" s="362">
        <v>1</v>
      </c>
      <c r="CB57" s="362">
        <v>2</v>
      </c>
      <c r="CC57" s="362">
        <f t="shared" si="69"/>
        <v>1212</v>
      </c>
      <c r="CD57">
        <f t="shared" si="70"/>
        <v>606</v>
      </c>
      <c r="CE57" s="444">
        <v>606</v>
      </c>
      <c r="CM57" s="299">
        <v>2019</v>
      </c>
      <c r="CN57" s="299">
        <v>1370</v>
      </c>
      <c r="CO57" s="300" t="s">
        <v>255</v>
      </c>
      <c r="CP57" s="299">
        <v>755</v>
      </c>
      <c r="CQ57" s="299">
        <v>24</v>
      </c>
      <c r="CR57" s="294" t="s">
        <v>385</v>
      </c>
      <c r="CS57" s="294" t="s">
        <v>386</v>
      </c>
      <c r="CT57" s="294" t="s">
        <v>396</v>
      </c>
      <c r="CU57" s="301">
        <v>28000</v>
      </c>
      <c r="DB57">
        <f t="shared" si="72"/>
        <v>11</v>
      </c>
      <c r="DC57" s="595" t="s">
        <v>1077</v>
      </c>
      <c r="DD57" s="595" t="s">
        <v>1078</v>
      </c>
      <c r="DE57" s="595" t="s">
        <v>698</v>
      </c>
      <c r="DF57" s="286">
        <v>1745226</v>
      </c>
      <c r="DG57" s="286">
        <v>203173169.99999997</v>
      </c>
      <c r="DH57" s="286">
        <v>2906974131</v>
      </c>
      <c r="DI57" s="286">
        <v>2036890130</v>
      </c>
      <c r="DJ57">
        <v>15</v>
      </c>
      <c r="DK57" s="643">
        <f t="shared" si="74"/>
        <v>43.273741284778055</v>
      </c>
      <c r="DL57" s="408">
        <f t="shared" si="75"/>
        <v>8792063194.5882282</v>
      </c>
      <c r="DM57" s="286"/>
      <c r="DN57" s="286"/>
      <c r="EC57" s="289" t="s">
        <v>690</v>
      </c>
      <c r="ED57" s="296">
        <v>4481530</v>
      </c>
      <c r="EE57" s="478">
        <v>1</v>
      </c>
      <c r="EF57" s="296">
        <v>4481530</v>
      </c>
      <c r="EG57" s="477">
        <v>2.0135584440475895</v>
      </c>
      <c r="EH57" s="594">
        <v>4542292.5737525942</v>
      </c>
      <c r="EI57" s="286">
        <v>9023822.5737525932</v>
      </c>
      <c r="EJ57" s="472">
        <f>EF57/EI57</f>
        <v>0.49663321318343889</v>
      </c>
      <c r="EK57" s="472">
        <f>1-EJ57</f>
        <v>0.50336678681656111</v>
      </c>
      <c r="EL57" s="596">
        <v>1</v>
      </c>
      <c r="EM57" s="453">
        <v>36.916666666666664</v>
      </c>
      <c r="EN57" s="453">
        <v>88</v>
      </c>
      <c r="EO57" s="453">
        <v>59.916666666666664</v>
      </c>
      <c r="EP57" s="453">
        <v>15</v>
      </c>
      <c r="EQ57" s="453">
        <v>60</v>
      </c>
      <c r="ER57" s="453">
        <v>31.25</v>
      </c>
      <c r="ES57" s="453">
        <v>50</v>
      </c>
      <c r="ET57" s="453">
        <v>207.65</v>
      </c>
      <c r="EU57" s="453">
        <v>110.7</v>
      </c>
      <c r="EV57" s="453">
        <v>99.47881884088693</v>
      </c>
      <c r="FA57" s="714" t="s">
        <v>800</v>
      </c>
      <c r="FB57" s="794" t="s">
        <v>1599</v>
      </c>
      <c r="FC57" s="794" t="s">
        <v>1600</v>
      </c>
      <c r="FD57" s="794" t="s">
        <v>1601</v>
      </c>
      <c r="FE57" s="794" t="s">
        <v>1689</v>
      </c>
      <c r="FF57" s="795" t="s">
        <v>1690</v>
      </c>
      <c r="FI57" s="2" t="s">
        <v>1208</v>
      </c>
      <c r="FU57" s="2"/>
    </row>
    <row r="58" spans="1:178" ht="16" customHeight="1">
      <c r="A58">
        <v>2019</v>
      </c>
      <c r="B58">
        <v>2670</v>
      </c>
      <c r="C58" t="s">
        <v>257</v>
      </c>
      <c r="D58" t="s">
        <v>245</v>
      </c>
      <c r="E58" s="203">
        <v>97</v>
      </c>
      <c r="F58" s="203" t="s">
        <v>251</v>
      </c>
      <c r="G58" s="203" t="s">
        <v>247</v>
      </c>
      <c r="H58" s="203" t="s">
        <v>248</v>
      </c>
      <c r="I58" s="202">
        <v>0</v>
      </c>
      <c r="J58" s="202">
        <v>0</v>
      </c>
      <c r="K58" s="202">
        <v>0</v>
      </c>
      <c r="L58" s="253"/>
      <c r="M58" s="254">
        <v>2019</v>
      </c>
      <c r="N58" s="254">
        <v>3680</v>
      </c>
      <c r="O58" s="255" t="s">
        <v>252</v>
      </c>
      <c r="P58" s="254">
        <v>410</v>
      </c>
      <c r="Q58" s="254">
        <v>222</v>
      </c>
      <c r="R58" s="255" t="s">
        <v>36</v>
      </c>
      <c r="S58" s="255" t="s">
        <v>198</v>
      </c>
      <c r="T58" s="350">
        <v>63000</v>
      </c>
      <c r="U58" s="350">
        <v>22000</v>
      </c>
      <c r="V58" s="350">
        <v>464000</v>
      </c>
      <c r="W58" s="350">
        <v>0</v>
      </c>
      <c r="X58" s="350">
        <v>549000</v>
      </c>
      <c r="AA58" s="272">
        <v>2019</v>
      </c>
      <c r="AB58" s="272">
        <v>1550</v>
      </c>
      <c r="AC58" s="273" t="s">
        <v>258</v>
      </c>
      <c r="AD58" s="272" t="s">
        <v>489</v>
      </c>
      <c r="AE58" s="272">
        <v>41</v>
      </c>
      <c r="AF58" s="274" t="s">
        <v>392</v>
      </c>
      <c r="AG58" s="272">
        <v>8408</v>
      </c>
      <c r="AH58" s="272">
        <v>0</v>
      </c>
      <c r="AI58" s="272">
        <v>6320</v>
      </c>
      <c r="AJ58" s="272">
        <v>0</v>
      </c>
      <c r="AK58" s="272">
        <v>699985</v>
      </c>
      <c r="AL58" s="352">
        <v>110.75712025316456</v>
      </c>
      <c r="AX58" s="254">
        <v>2019</v>
      </c>
      <c r="AY58" s="254">
        <v>3680</v>
      </c>
      <c r="AZ58" s="255" t="s">
        <v>252</v>
      </c>
      <c r="BA58" s="254">
        <v>410</v>
      </c>
      <c r="BB58" s="254">
        <v>304</v>
      </c>
      <c r="BC58" s="255" t="s">
        <v>555</v>
      </c>
      <c r="BD58" s="255" t="s">
        <v>558</v>
      </c>
      <c r="BE58" s="350">
        <v>0</v>
      </c>
      <c r="BF58" s="350">
        <v>0</v>
      </c>
      <c r="BG58" s="350">
        <v>0</v>
      </c>
      <c r="BH58" s="350">
        <v>0</v>
      </c>
      <c r="BI58" s="350">
        <v>0</v>
      </c>
      <c r="BK58" s="272">
        <v>2019</v>
      </c>
      <c r="BL58" s="272">
        <v>2670</v>
      </c>
      <c r="BM58" s="273" t="s">
        <v>257</v>
      </c>
      <c r="BN58" s="272" t="s">
        <v>588</v>
      </c>
      <c r="BO58" s="272">
        <v>60</v>
      </c>
      <c r="BP58" s="441" t="s">
        <v>590</v>
      </c>
      <c r="BQ58" s="272">
        <v>0</v>
      </c>
      <c r="BR58" s="272">
        <v>0</v>
      </c>
      <c r="BS58" s="272">
        <v>0</v>
      </c>
      <c r="BT58" s="272">
        <v>0</v>
      </c>
      <c r="BU58" s="272">
        <v>0</v>
      </c>
      <c r="BV58" s="272">
        <v>0</v>
      </c>
      <c r="BY58" t="str">
        <f t="shared" si="73"/>
        <v>S</v>
      </c>
      <c r="BZ58" s="362" t="s">
        <v>633</v>
      </c>
      <c r="CA58" s="362">
        <v>5</v>
      </c>
      <c r="CB58" s="362">
        <v>2</v>
      </c>
      <c r="CC58" s="362">
        <f t="shared" si="69"/>
        <v>1100</v>
      </c>
      <c r="CD58">
        <f t="shared" si="70"/>
        <v>550</v>
      </c>
      <c r="CE58" s="444">
        <v>110</v>
      </c>
      <c r="CM58" s="299">
        <v>2019</v>
      </c>
      <c r="CN58" s="299">
        <v>1370</v>
      </c>
      <c r="CO58" s="300" t="s">
        <v>255</v>
      </c>
      <c r="CP58" s="299">
        <v>755</v>
      </c>
      <c r="CQ58" s="299">
        <v>25</v>
      </c>
      <c r="CR58" s="294" t="s">
        <v>385</v>
      </c>
      <c r="CS58" s="294" t="s">
        <v>386</v>
      </c>
      <c r="CT58" s="294" t="s">
        <v>397</v>
      </c>
      <c r="CU58" s="301">
        <v>8277000</v>
      </c>
      <c r="DB58">
        <f t="shared" si="72"/>
        <v>13</v>
      </c>
      <c r="DC58" s="595" t="s">
        <v>1087</v>
      </c>
      <c r="DD58" s="595" t="s">
        <v>1088</v>
      </c>
      <c r="DE58" s="595" t="s">
        <v>695</v>
      </c>
      <c r="DF58" s="286">
        <v>498740</v>
      </c>
      <c r="DG58" s="286">
        <v>46719634.000000007</v>
      </c>
      <c r="DH58" s="286">
        <v>1591782403</v>
      </c>
      <c r="DI58" s="286">
        <v>1130959573</v>
      </c>
      <c r="DJ58">
        <v>16</v>
      </c>
      <c r="DK58" s="643">
        <f t="shared" si="74"/>
        <v>319.51291727084612</v>
      </c>
      <c r="DL58" s="408">
        <f t="shared" si="75"/>
        <v>14927526553.166212</v>
      </c>
      <c r="DM58" s="286"/>
      <c r="DN58" s="286"/>
      <c r="EC58" s="598"/>
      <c r="EW58" s="453"/>
      <c r="FA58" s="685" t="s">
        <v>694</v>
      </c>
      <c r="FB58" s="608">
        <f>FC58/EO89</f>
        <v>68.858280433524925</v>
      </c>
      <c r="FC58" s="608">
        <f>EW16</f>
        <v>5537.3533848626294</v>
      </c>
      <c r="FD58" s="608">
        <f>FB58*FV21</f>
        <v>2245.9312207160146</v>
      </c>
      <c r="FE58" s="608">
        <f>FB58</f>
        <v>68.858280433524925</v>
      </c>
      <c r="FF58" s="796">
        <f>FB58*EH8</f>
        <v>1076.1801824646984</v>
      </c>
      <c r="FH58" t="s">
        <v>797</v>
      </c>
      <c r="FI58" t="s">
        <v>804</v>
      </c>
      <c r="FJ58" t="s">
        <v>805</v>
      </c>
      <c r="FK58" t="s">
        <v>800</v>
      </c>
      <c r="FL58" t="s">
        <v>678</v>
      </c>
      <c r="FM58" t="s">
        <v>794</v>
      </c>
      <c r="FN58" t="s">
        <v>353</v>
      </c>
      <c r="FO58" t="s">
        <v>803</v>
      </c>
      <c r="FP58" t="s">
        <v>1627</v>
      </c>
      <c r="FQ58" t="s">
        <v>1628</v>
      </c>
      <c r="FR58" t="s">
        <v>1680</v>
      </c>
      <c r="FS58" t="s">
        <v>1815</v>
      </c>
      <c r="FU58" s="2"/>
    </row>
    <row r="59" spans="1:178" ht="16" customHeight="1">
      <c r="A59">
        <v>2019</v>
      </c>
      <c r="B59">
        <v>2670</v>
      </c>
      <c r="C59" t="s">
        <v>257</v>
      </c>
      <c r="D59" t="s">
        <v>245</v>
      </c>
      <c r="E59" s="203">
        <v>98</v>
      </c>
      <c r="F59" s="203" t="s">
        <v>251</v>
      </c>
      <c r="G59" s="203" t="s">
        <v>247</v>
      </c>
      <c r="H59" s="204" t="s">
        <v>249</v>
      </c>
      <c r="I59" s="202">
        <v>0</v>
      </c>
      <c r="J59" s="202">
        <v>0</v>
      </c>
      <c r="K59" s="202">
        <v>0</v>
      </c>
      <c r="L59" s="253"/>
      <c r="M59" s="254">
        <v>2019</v>
      </c>
      <c r="N59" s="254">
        <v>3680</v>
      </c>
      <c r="O59" s="255" t="s">
        <v>252</v>
      </c>
      <c r="P59" s="254">
        <v>410</v>
      </c>
      <c r="Q59" s="254">
        <v>223</v>
      </c>
      <c r="R59" s="255" t="s">
        <v>36</v>
      </c>
      <c r="S59" s="255" t="s">
        <v>199</v>
      </c>
      <c r="T59" s="350">
        <v>64000</v>
      </c>
      <c r="U59" s="350">
        <v>-22000</v>
      </c>
      <c r="V59" s="350">
        <v>6710000</v>
      </c>
      <c r="W59" s="350">
        <v>1000</v>
      </c>
      <c r="X59" s="350">
        <v>6753000</v>
      </c>
      <c r="AA59" s="272">
        <v>2019</v>
      </c>
      <c r="AB59" s="272">
        <v>1550</v>
      </c>
      <c r="AC59" s="273" t="s">
        <v>258</v>
      </c>
      <c r="AD59" s="272" t="s">
        <v>489</v>
      </c>
      <c r="AE59" s="272">
        <v>42</v>
      </c>
      <c r="AF59" s="274" t="s">
        <v>393</v>
      </c>
      <c r="AG59" s="272">
        <v>7842</v>
      </c>
      <c r="AH59" s="272">
        <v>0</v>
      </c>
      <c r="AI59" s="272">
        <v>6940</v>
      </c>
      <c r="AJ59" s="272">
        <v>0</v>
      </c>
      <c r="AK59" s="272">
        <v>789907</v>
      </c>
      <c r="AL59" s="352">
        <v>113.81945244956772</v>
      </c>
      <c r="AX59" s="254">
        <v>2019</v>
      </c>
      <c r="AY59" s="254">
        <v>3680</v>
      </c>
      <c r="AZ59" s="255" t="s">
        <v>252</v>
      </c>
      <c r="BA59" s="254">
        <v>410</v>
      </c>
      <c r="BB59" s="254">
        <v>305</v>
      </c>
      <c r="BC59" s="255" t="s">
        <v>555</v>
      </c>
      <c r="BD59" s="255" t="s">
        <v>559</v>
      </c>
      <c r="BE59" s="350">
        <v>34000</v>
      </c>
      <c r="BF59" s="350">
        <v>1000</v>
      </c>
      <c r="BG59" s="350">
        <v>647000</v>
      </c>
      <c r="BH59" s="350">
        <v>4000</v>
      </c>
      <c r="BI59" s="350">
        <v>686000</v>
      </c>
      <c r="BK59" s="272">
        <v>2019</v>
      </c>
      <c r="BL59" s="272">
        <v>2670</v>
      </c>
      <c r="BM59" s="273" t="s">
        <v>257</v>
      </c>
      <c r="BN59" s="272" t="s">
        <v>588</v>
      </c>
      <c r="BO59" s="272">
        <v>61</v>
      </c>
      <c r="BP59" s="441" t="s">
        <v>591</v>
      </c>
      <c r="BQ59" s="272">
        <v>0</v>
      </c>
      <c r="BR59" s="272">
        <v>0</v>
      </c>
      <c r="BS59" s="272">
        <v>0</v>
      </c>
      <c r="BT59" s="272">
        <v>0</v>
      </c>
      <c r="BU59" s="272">
        <v>0</v>
      </c>
      <c r="BV59" s="272">
        <v>0</v>
      </c>
      <c r="BY59" t="str">
        <f t="shared" si="73"/>
        <v>Q</v>
      </c>
      <c r="BZ59" s="362" t="s">
        <v>634</v>
      </c>
      <c r="CA59" s="362">
        <v>5</v>
      </c>
      <c r="CB59" s="362">
        <v>1</v>
      </c>
      <c r="CC59" s="362">
        <f t="shared" si="69"/>
        <v>15950</v>
      </c>
      <c r="CD59">
        <f t="shared" si="70"/>
        <v>15950</v>
      </c>
      <c r="CE59" s="444">
        <v>3190</v>
      </c>
      <c r="CM59" s="299">
        <v>2019</v>
      </c>
      <c r="CN59" s="299">
        <v>1370</v>
      </c>
      <c r="CO59" s="300" t="s">
        <v>255</v>
      </c>
      <c r="CP59" s="299">
        <v>755</v>
      </c>
      <c r="CQ59" s="299">
        <v>26</v>
      </c>
      <c r="CR59" s="294" t="s">
        <v>385</v>
      </c>
      <c r="CS59" s="294" t="s">
        <v>386</v>
      </c>
      <c r="CT59" s="294" t="s">
        <v>398</v>
      </c>
      <c r="CU59" s="301">
        <v>6727000</v>
      </c>
      <c r="DB59">
        <f t="shared" si="72"/>
        <v>13</v>
      </c>
      <c r="DC59" s="595" t="s">
        <v>1089</v>
      </c>
      <c r="DD59" s="595" t="s">
        <v>1090</v>
      </c>
      <c r="DE59" s="595" t="s">
        <v>695</v>
      </c>
      <c r="DF59" s="286">
        <v>26872</v>
      </c>
      <c r="DG59" s="286">
        <v>2032156</v>
      </c>
      <c r="DH59" s="286">
        <v>46889334</v>
      </c>
      <c r="DI59" s="286">
        <v>29709677</v>
      </c>
      <c r="DJ59">
        <v>16</v>
      </c>
      <c r="DK59" s="643">
        <f t="shared" si="74"/>
        <v>319.51291727084612</v>
      </c>
      <c r="DL59" s="408">
        <f t="shared" si="75"/>
        <v>649300091.90945351</v>
      </c>
      <c r="DM59" s="286"/>
      <c r="DN59" s="286"/>
      <c r="EC59" s="598" t="s">
        <v>1789</v>
      </c>
      <c r="ED59" s="296"/>
      <c r="EE59" s="478"/>
      <c r="EF59" s="296"/>
      <c r="EG59" s="477"/>
      <c r="EH59" s="594"/>
      <c r="EI59" s="286"/>
      <c r="EJ59" s="472"/>
      <c r="EK59" s="472"/>
      <c r="EL59" s="596"/>
      <c r="EM59" s="453"/>
      <c r="EN59" s="453"/>
      <c r="EO59" s="453"/>
      <c r="EP59" s="453"/>
      <c r="EQ59" s="453"/>
      <c r="ER59" s="453"/>
      <c r="ES59" s="453"/>
      <c r="ET59" s="453"/>
      <c r="EU59" s="453"/>
      <c r="EV59" s="453"/>
      <c r="FA59" s="544" t="s">
        <v>1714</v>
      </c>
      <c r="FB59" s="715">
        <f>FB67</f>
        <v>103.87810882858668</v>
      </c>
      <c r="FC59" s="4"/>
      <c r="FD59" s="4"/>
      <c r="FE59" s="4"/>
      <c r="FF59" s="659" t="s">
        <v>1691</v>
      </c>
      <c r="FH59">
        <v>1</v>
      </c>
      <c r="FI59" t="s">
        <v>895</v>
      </c>
      <c r="FJ59" t="s">
        <v>896</v>
      </c>
      <c r="FK59" t="s">
        <v>690</v>
      </c>
      <c r="FL59" s="286">
        <v>640631</v>
      </c>
      <c r="FM59" s="286">
        <v>66748265</v>
      </c>
      <c r="FN59" s="286">
        <v>2314075723</v>
      </c>
      <c r="FO59" s="286">
        <v>1350585685</v>
      </c>
      <c r="FP59">
        <v>2</v>
      </c>
      <c r="FQ59" s="925">
        <v>122.96653784550514</v>
      </c>
      <c r="FR59" s="926">
        <v>8207803054.2443066</v>
      </c>
      <c r="FS59">
        <v>1</v>
      </c>
      <c r="FV59" s="788">
        <f>FM59/FL59</f>
        <v>104.19143781677752</v>
      </c>
    </row>
    <row r="60" spans="1:178" ht="16" customHeight="1">
      <c r="A60">
        <v>2019</v>
      </c>
      <c r="B60">
        <v>1550</v>
      </c>
      <c r="C60" t="s">
        <v>258</v>
      </c>
      <c r="D60" t="s">
        <v>245</v>
      </c>
      <c r="E60" s="203">
        <v>91</v>
      </c>
      <c r="F60" s="203" t="s">
        <v>246</v>
      </c>
      <c r="G60" s="203" t="s">
        <v>247</v>
      </c>
      <c r="H60" s="203" t="s">
        <v>248</v>
      </c>
      <c r="I60" s="202">
        <v>35</v>
      </c>
      <c r="J60" s="202">
        <v>7560</v>
      </c>
      <c r="K60" s="202">
        <v>97964000</v>
      </c>
      <c r="L60" s="253"/>
      <c r="M60" s="254">
        <v>2019</v>
      </c>
      <c r="N60" s="254">
        <v>3680</v>
      </c>
      <c r="O60" s="255" t="s">
        <v>252</v>
      </c>
      <c r="P60" s="254">
        <v>410</v>
      </c>
      <c r="Q60" s="254">
        <v>224</v>
      </c>
      <c r="R60" s="255" t="s">
        <v>36</v>
      </c>
      <c r="S60" s="255" t="s">
        <v>200</v>
      </c>
      <c r="T60" s="350">
        <v>0</v>
      </c>
      <c r="U60" s="350">
        <v>0</v>
      </c>
      <c r="V60" s="350">
        <v>0</v>
      </c>
      <c r="W60" s="350">
        <v>2740000</v>
      </c>
      <c r="X60" s="350">
        <v>2740000</v>
      </c>
      <c r="AA60" s="272">
        <v>2019</v>
      </c>
      <c r="AB60" s="272">
        <v>1550</v>
      </c>
      <c r="AC60" s="273" t="s">
        <v>258</v>
      </c>
      <c r="AD60" s="272" t="s">
        <v>489</v>
      </c>
      <c r="AE60" s="272">
        <v>43</v>
      </c>
      <c r="AF60" s="274" t="s">
        <v>394</v>
      </c>
      <c r="AG60" s="272">
        <v>3159</v>
      </c>
      <c r="AH60" s="272">
        <v>0</v>
      </c>
      <c r="AI60" s="272">
        <v>2937</v>
      </c>
      <c r="AJ60" s="272">
        <v>0</v>
      </c>
      <c r="AK60" s="272">
        <v>319870</v>
      </c>
      <c r="AL60" s="352">
        <v>108.91045284303711</v>
      </c>
      <c r="AX60" s="254">
        <v>2019</v>
      </c>
      <c r="AY60" s="254">
        <v>3680</v>
      </c>
      <c r="AZ60" s="255" t="s">
        <v>252</v>
      </c>
      <c r="BA60" s="254">
        <v>410</v>
      </c>
      <c r="BB60" s="254">
        <v>306</v>
      </c>
      <c r="BC60" s="255" t="s">
        <v>555</v>
      </c>
      <c r="BD60" s="255" t="s">
        <v>560</v>
      </c>
      <c r="BE60" s="350">
        <v>0</v>
      </c>
      <c r="BF60" s="350">
        <v>0</v>
      </c>
      <c r="BG60" s="350">
        <v>3000</v>
      </c>
      <c r="BH60" s="350">
        <v>0</v>
      </c>
      <c r="BI60" s="350">
        <v>3000</v>
      </c>
      <c r="BK60" s="272">
        <v>2019</v>
      </c>
      <c r="BL60" s="272">
        <v>2670</v>
      </c>
      <c r="BM60" s="273" t="s">
        <v>257</v>
      </c>
      <c r="BN60" s="272" t="s">
        <v>588</v>
      </c>
      <c r="BO60" s="272">
        <v>62</v>
      </c>
      <c r="BP60" s="441" t="s">
        <v>592</v>
      </c>
      <c r="BQ60" s="272">
        <v>0</v>
      </c>
      <c r="BR60" s="272">
        <v>0</v>
      </c>
      <c r="BS60" s="272">
        <v>0</v>
      </c>
      <c r="BT60" s="272">
        <v>0</v>
      </c>
      <c r="BU60" s="272">
        <v>0</v>
      </c>
      <c r="BV60" s="272">
        <v>0</v>
      </c>
      <c r="BY60" t="str">
        <f t="shared" si="73"/>
        <v>Q</v>
      </c>
      <c r="BZ60" s="362" t="s">
        <v>635</v>
      </c>
      <c r="CA60" s="362">
        <v>5</v>
      </c>
      <c r="CB60" s="362">
        <v>1</v>
      </c>
      <c r="CC60" s="362">
        <f t="shared" si="69"/>
        <v>1125</v>
      </c>
      <c r="CD60">
        <f t="shared" si="70"/>
        <v>1125</v>
      </c>
      <c r="CE60" s="444">
        <v>225</v>
      </c>
      <c r="CM60" s="299">
        <v>2019</v>
      </c>
      <c r="CN60" s="299">
        <v>1370</v>
      </c>
      <c r="CO60" s="300" t="s">
        <v>255</v>
      </c>
      <c r="CP60" s="299">
        <v>755</v>
      </c>
      <c r="CQ60" s="299">
        <v>27</v>
      </c>
      <c r="CR60" s="294" t="s">
        <v>385</v>
      </c>
      <c r="CS60" s="294" t="s">
        <v>386</v>
      </c>
      <c r="CT60" s="294" t="s">
        <v>399</v>
      </c>
      <c r="CU60" s="301">
        <v>24000</v>
      </c>
      <c r="DB60">
        <f t="shared" si="72"/>
        <v>14</v>
      </c>
      <c r="DC60" s="595" t="s">
        <v>1016</v>
      </c>
      <c r="DD60" s="595" t="s">
        <v>1017</v>
      </c>
      <c r="DE60" s="595" t="s">
        <v>689</v>
      </c>
      <c r="DF60" s="286">
        <v>37386</v>
      </c>
      <c r="DG60" s="286">
        <v>3728481</v>
      </c>
      <c r="DH60" s="286">
        <v>45058759</v>
      </c>
      <c r="DI60" s="286">
        <v>25012604</v>
      </c>
      <c r="DJ60">
        <v>12</v>
      </c>
      <c r="DK60" s="643">
        <f t="shared" si="74"/>
        <v>12.148631154247422</v>
      </c>
      <c r="DL60" s="408">
        <f t="shared" si="75"/>
        <v>45295940.434619583</v>
      </c>
      <c r="DM60" s="286"/>
      <c r="DN60" s="286"/>
      <c r="EC60" s="289" t="s">
        <v>690</v>
      </c>
      <c r="ED60" s="296">
        <v>4481530</v>
      </c>
      <c r="EE60" s="478">
        <v>1</v>
      </c>
      <c r="EF60" s="296">
        <v>4481530</v>
      </c>
      <c r="EG60" s="477">
        <v>2.0135584440475895</v>
      </c>
      <c r="EH60" s="594">
        <v>4542292.5737525942</v>
      </c>
      <c r="EI60" s="286">
        <v>9023822.5737525932</v>
      </c>
      <c r="EJ60" s="472">
        <f>EF60/EI60</f>
        <v>0.49663321318343889</v>
      </c>
      <c r="EK60" s="472">
        <f>1-EJ60</f>
        <v>0.50336678681656111</v>
      </c>
      <c r="EL60" s="596">
        <v>1</v>
      </c>
      <c r="EM60" s="453">
        <v>36.916666666666664</v>
      </c>
      <c r="EN60" s="453">
        <v>88</v>
      </c>
      <c r="EO60" s="453">
        <v>59.916666666666664</v>
      </c>
      <c r="EP60" s="453">
        <v>15</v>
      </c>
      <c r="EQ60" s="453">
        <v>60</v>
      </c>
      <c r="ER60" s="453">
        <v>31.25</v>
      </c>
      <c r="ES60" s="453">
        <v>50</v>
      </c>
      <c r="ET60" s="453">
        <v>207.65</v>
      </c>
      <c r="EU60" s="453">
        <v>110.7</v>
      </c>
      <c r="EV60" s="453">
        <v>99.47881884088693</v>
      </c>
      <c r="FA60" s="714" t="s">
        <v>800</v>
      </c>
      <c r="FB60" s="794" t="s">
        <v>1599</v>
      </c>
      <c r="FC60" s="794" t="s">
        <v>1600</v>
      </c>
      <c r="FD60" s="794" t="s">
        <v>1601</v>
      </c>
      <c r="FE60" s="794" t="s">
        <v>1689</v>
      </c>
      <c r="FF60" s="795" t="s">
        <v>1690</v>
      </c>
      <c r="FH60">
        <v>1</v>
      </c>
      <c r="FI60" t="s">
        <v>901</v>
      </c>
      <c r="FJ60" t="s">
        <v>902</v>
      </c>
      <c r="FK60" t="s">
        <v>690</v>
      </c>
      <c r="FL60" s="286">
        <v>391703</v>
      </c>
      <c r="FM60" s="286">
        <v>39830838</v>
      </c>
      <c r="FN60" s="286">
        <v>1584015892</v>
      </c>
      <c r="FO60" s="286">
        <v>755167163</v>
      </c>
      <c r="FP60">
        <v>2</v>
      </c>
      <c r="FQ60" s="925">
        <v>122.96653784550514</v>
      </c>
      <c r="FR60" s="926">
        <v>4897860248.3451843</v>
      </c>
      <c r="FS60">
        <v>1</v>
      </c>
      <c r="FV60" s="788">
        <f>FM60/FL60</f>
        <v>101.68632356657979</v>
      </c>
    </row>
    <row r="61" spans="1:178" ht="16" customHeight="1">
      <c r="A61">
        <v>2019</v>
      </c>
      <c r="B61">
        <v>1550</v>
      </c>
      <c r="C61" t="s">
        <v>258</v>
      </c>
      <c r="D61" t="s">
        <v>245</v>
      </c>
      <c r="E61" s="203">
        <v>92</v>
      </c>
      <c r="F61" s="203" t="s">
        <v>246</v>
      </c>
      <c r="G61" s="203" t="s">
        <v>247</v>
      </c>
      <c r="H61" s="204" t="s">
        <v>249</v>
      </c>
      <c r="I61" s="202">
        <v>157</v>
      </c>
      <c r="J61" s="202">
        <v>32904</v>
      </c>
      <c r="K61" s="202">
        <v>278797000</v>
      </c>
      <c r="L61" s="253"/>
      <c r="M61" s="254">
        <v>2019</v>
      </c>
      <c r="N61" s="254">
        <v>3680</v>
      </c>
      <c r="O61" s="255" t="s">
        <v>252</v>
      </c>
      <c r="P61" s="254">
        <v>410</v>
      </c>
      <c r="Q61" s="254">
        <v>225</v>
      </c>
      <c r="R61" s="255" t="s">
        <v>36</v>
      </c>
      <c r="S61" s="255" t="s">
        <v>201</v>
      </c>
      <c r="T61" s="350">
        <v>0</v>
      </c>
      <c r="U61" s="350">
        <v>0</v>
      </c>
      <c r="V61" s="350">
        <v>0</v>
      </c>
      <c r="W61" s="350">
        <v>474000</v>
      </c>
      <c r="X61" s="350">
        <v>474000</v>
      </c>
      <c r="AA61" s="272">
        <v>2019</v>
      </c>
      <c r="AB61" s="272">
        <v>1550</v>
      </c>
      <c r="AC61" s="273" t="s">
        <v>258</v>
      </c>
      <c r="AD61" s="272" t="s">
        <v>489</v>
      </c>
      <c r="AE61" s="272">
        <v>44</v>
      </c>
      <c r="AF61" s="274" t="s">
        <v>395</v>
      </c>
      <c r="AG61" s="272">
        <v>0</v>
      </c>
      <c r="AH61" s="272">
        <v>0</v>
      </c>
      <c r="AI61" s="272">
        <v>0</v>
      </c>
      <c r="AJ61" s="272">
        <v>0</v>
      </c>
      <c r="AK61" s="272">
        <v>0</v>
      </c>
      <c r="AL61" s="352">
        <v>0</v>
      </c>
      <c r="AX61" s="254">
        <v>2019</v>
      </c>
      <c r="AY61" s="254">
        <v>3680</v>
      </c>
      <c r="AZ61" s="255" t="s">
        <v>252</v>
      </c>
      <c r="BA61" s="254">
        <v>410</v>
      </c>
      <c r="BB61" s="254">
        <v>307</v>
      </c>
      <c r="BC61" s="255" t="s">
        <v>555</v>
      </c>
      <c r="BD61" s="255" t="s">
        <v>561</v>
      </c>
      <c r="BE61" s="350">
        <v>115000</v>
      </c>
      <c r="BF61" s="350">
        <v>510000</v>
      </c>
      <c r="BG61" s="350">
        <v>1382000</v>
      </c>
      <c r="BH61" s="350">
        <v>0</v>
      </c>
      <c r="BI61" s="350">
        <v>2007000</v>
      </c>
      <c r="BK61" s="272">
        <v>2019</v>
      </c>
      <c r="BL61" s="272">
        <v>2670</v>
      </c>
      <c r="BM61" s="273" t="s">
        <v>257</v>
      </c>
      <c r="BN61" s="272" t="s">
        <v>588</v>
      </c>
      <c r="BO61" s="272">
        <v>63</v>
      </c>
      <c r="BP61" s="441" t="s">
        <v>593</v>
      </c>
      <c r="BQ61" s="272">
        <v>0</v>
      </c>
      <c r="BR61" s="272">
        <v>0</v>
      </c>
      <c r="BS61" s="272">
        <v>0</v>
      </c>
      <c r="BT61" s="272">
        <v>0</v>
      </c>
      <c r="BU61" s="272">
        <v>0</v>
      </c>
      <c r="BV61" s="272">
        <v>0</v>
      </c>
      <c r="BY61" t="str">
        <f t="shared" si="73"/>
        <v>S</v>
      </c>
      <c r="BZ61" s="362" t="s">
        <v>636</v>
      </c>
      <c r="CA61" s="362">
        <v>5</v>
      </c>
      <c r="CB61" s="362">
        <v>2</v>
      </c>
      <c r="CC61" s="362">
        <f t="shared" si="69"/>
        <v>3350</v>
      </c>
      <c r="CD61">
        <f t="shared" si="70"/>
        <v>1675</v>
      </c>
      <c r="CE61" s="444">
        <v>335</v>
      </c>
      <c r="CM61" s="299">
        <v>2019</v>
      </c>
      <c r="CN61" s="299">
        <v>1370</v>
      </c>
      <c r="CO61" s="300" t="s">
        <v>255</v>
      </c>
      <c r="CP61" s="299">
        <v>755</v>
      </c>
      <c r="CQ61" s="299">
        <v>28</v>
      </c>
      <c r="CR61" s="294" t="s">
        <v>385</v>
      </c>
      <c r="CS61" s="294" t="s">
        <v>386</v>
      </c>
      <c r="CT61" s="294" t="s">
        <v>400</v>
      </c>
      <c r="CU61" s="301">
        <v>39800000</v>
      </c>
      <c r="DB61">
        <f t="shared" si="72"/>
        <v>14</v>
      </c>
      <c r="DC61" s="595" t="s">
        <v>1016</v>
      </c>
      <c r="DD61" s="595" t="s">
        <v>1017</v>
      </c>
      <c r="DE61" s="595" t="s">
        <v>688</v>
      </c>
      <c r="DF61" s="286">
        <v>94262</v>
      </c>
      <c r="DG61" s="286">
        <v>10108470</v>
      </c>
      <c r="DH61" s="286">
        <v>119023947</v>
      </c>
      <c r="DI61" s="286">
        <v>51730414.000000007</v>
      </c>
      <c r="DJ61">
        <v>12</v>
      </c>
      <c r="DK61" s="643">
        <f t="shared" si="74"/>
        <v>12.148631154247422</v>
      </c>
      <c r="DL61" s="408">
        <f t="shared" si="75"/>
        <v>122804073.56377544</v>
      </c>
      <c r="DM61" s="286"/>
      <c r="DN61" s="286"/>
      <c r="EC61" s="598"/>
      <c r="EW61" s="453"/>
      <c r="FA61" s="671" t="s">
        <v>688</v>
      </c>
      <c r="FB61" s="608">
        <f>FC61/EO69</f>
        <v>4.1913953961032879</v>
      </c>
      <c r="FC61" s="699">
        <f>EL69*$FC$67</f>
        <v>241.70380117528958</v>
      </c>
      <c r="FD61" s="608">
        <f>FB61*FV26</f>
        <v>448.68431013546166</v>
      </c>
      <c r="FE61" s="608">
        <f>FB61</f>
        <v>4.1913953961032879</v>
      </c>
      <c r="FF61" s="796">
        <f>FD61*$EN$27</f>
        <v>0.88871720823252598</v>
      </c>
      <c r="FH61">
        <v>1</v>
      </c>
      <c r="FI61" t="s">
        <v>907</v>
      </c>
      <c r="FJ61" t="s">
        <v>908</v>
      </c>
      <c r="FK61" t="s">
        <v>690</v>
      </c>
      <c r="FL61" s="286">
        <v>244857</v>
      </c>
      <c r="FM61" s="286">
        <v>25749095</v>
      </c>
      <c r="FN61" s="286">
        <v>935517350.00000012</v>
      </c>
      <c r="FO61" s="286">
        <v>497490199</v>
      </c>
      <c r="FP61">
        <v>3</v>
      </c>
      <c r="FQ61" s="925">
        <v>679.18710494589243</v>
      </c>
      <c r="FR61" s="926">
        <v>17488453288.026752</v>
      </c>
      <c r="FS61">
        <v>1</v>
      </c>
      <c r="FV61" s="788">
        <f>FM61/FL61</f>
        <v>105.15972588082023</v>
      </c>
    </row>
    <row r="62" spans="1:178" ht="16" customHeight="1">
      <c r="A62">
        <v>2019</v>
      </c>
      <c r="B62">
        <v>1550</v>
      </c>
      <c r="C62" t="s">
        <v>258</v>
      </c>
      <c r="D62" t="s">
        <v>245</v>
      </c>
      <c r="E62" s="203">
        <v>93</v>
      </c>
      <c r="F62" s="203" t="s">
        <v>250</v>
      </c>
      <c r="G62" s="203" t="s">
        <v>247</v>
      </c>
      <c r="H62" s="203" t="s">
        <v>248</v>
      </c>
      <c r="I62" s="202">
        <v>200</v>
      </c>
      <c r="J62" s="202">
        <v>6400</v>
      </c>
      <c r="K62" s="202">
        <v>20189000</v>
      </c>
      <c r="L62" s="253"/>
      <c r="M62" s="254">
        <v>2019</v>
      </c>
      <c r="N62" s="254">
        <v>3680</v>
      </c>
      <c r="O62" s="255" t="s">
        <v>252</v>
      </c>
      <c r="P62" s="254">
        <v>410</v>
      </c>
      <c r="Q62" s="254">
        <v>226</v>
      </c>
      <c r="R62" s="255" t="s">
        <v>36</v>
      </c>
      <c r="S62" s="255" t="s">
        <v>137</v>
      </c>
      <c r="T62" s="350">
        <v>0</v>
      </c>
      <c r="U62" s="350">
        <v>0</v>
      </c>
      <c r="V62" s="350">
        <v>24379000</v>
      </c>
      <c r="W62" s="350">
        <v>0</v>
      </c>
      <c r="X62" s="350">
        <v>24379000</v>
      </c>
      <c r="AA62" s="272">
        <v>2019</v>
      </c>
      <c r="AB62" s="272">
        <v>1550</v>
      </c>
      <c r="AC62" s="273" t="s">
        <v>258</v>
      </c>
      <c r="AD62" s="272" t="s">
        <v>489</v>
      </c>
      <c r="AE62" s="272">
        <v>45</v>
      </c>
      <c r="AF62" s="274" t="s">
        <v>396</v>
      </c>
      <c r="AG62" s="272">
        <v>0</v>
      </c>
      <c r="AH62" s="272">
        <v>0</v>
      </c>
      <c r="AI62" s="272">
        <v>0</v>
      </c>
      <c r="AJ62" s="272">
        <v>0</v>
      </c>
      <c r="AK62" s="272">
        <v>0</v>
      </c>
      <c r="AL62" s="352">
        <v>0</v>
      </c>
      <c r="AX62" s="254">
        <v>2019</v>
      </c>
      <c r="AY62" s="254">
        <v>3680</v>
      </c>
      <c r="AZ62" s="255" t="s">
        <v>252</v>
      </c>
      <c r="BA62" s="254">
        <v>410</v>
      </c>
      <c r="BB62" s="254">
        <v>308</v>
      </c>
      <c r="BC62" s="255" t="s">
        <v>555</v>
      </c>
      <c r="BD62" s="255" t="s">
        <v>560</v>
      </c>
      <c r="BE62" s="350">
        <v>0</v>
      </c>
      <c r="BF62" s="350">
        <v>0</v>
      </c>
      <c r="BG62" s="350">
        <v>0</v>
      </c>
      <c r="BH62" s="350">
        <v>0</v>
      </c>
      <c r="BI62" s="350">
        <v>0</v>
      </c>
      <c r="BK62" s="272">
        <v>2019</v>
      </c>
      <c r="BL62" s="272">
        <v>2670</v>
      </c>
      <c r="BM62" s="273" t="s">
        <v>257</v>
      </c>
      <c r="BN62" s="272" t="s">
        <v>588</v>
      </c>
      <c r="BO62" s="272">
        <v>64</v>
      </c>
      <c r="BP62" s="441" t="s">
        <v>594</v>
      </c>
      <c r="BQ62" s="272">
        <v>0</v>
      </c>
      <c r="BR62" s="272">
        <v>0</v>
      </c>
      <c r="BS62" s="272">
        <v>0</v>
      </c>
      <c r="BT62" s="272">
        <v>0</v>
      </c>
      <c r="BU62" s="272">
        <v>0</v>
      </c>
      <c r="BV62" s="272">
        <v>0</v>
      </c>
      <c r="BY62" t="str">
        <f t="shared" si="73"/>
        <v>S</v>
      </c>
      <c r="BZ62" s="362" t="s">
        <v>637</v>
      </c>
      <c r="CA62" s="362">
        <v>5</v>
      </c>
      <c r="CB62" s="362">
        <v>2</v>
      </c>
      <c r="CC62" s="362">
        <f t="shared" si="69"/>
        <v>1100</v>
      </c>
      <c r="CD62">
        <f t="shared" si="70"/>
        <v>550</v>
      </c>
      <c r="CE62" s="444">
        <v>110</v>
      </c>
      <c r="CM62" s="299">
        <v>2019</v>
      </c>
      <c r="CN62" s="299">
        <v>1370</v>
      </c>
      <c r="CO62" s="300" t="s">
        <v>255</v>
      </c>
      <c r="CP62" s="299">
        <v>755</v>
      </c>
      <c r="CQ62" s="299">
        <v>29</v>
      </c>
      <c r="CR62" s="294" t="s">
        <v>385</v>
      </c>
      <c r="CS62" s="294" t="s">
        <v>401</v>
      </c>
      <c r="CT62" s="294" t="s">
        <v>402</v>
      </c>
      <c r="CU62" s="301">
        <v>11839000</v>
      </c>
      <c r="DB62">
        <f t="shared" si="72"/>
        <v>14</v>
      </c>
      <c r="DC62" s="595" t="s">
        <v>1016</v>
      </c>
      <c r="DD62" s="595" t="s">
        <v>1017</v>
      </c>
      <c r="DE62" s="595" t="s">
        <v>691</v>
      </c>
      <c r="DF62" s="286">
        <v>344861</v>
      </c>
      <c r="DG62" s="286">
        <v>34732249</v>
      </c>
      <c r="DH62" s="286">
        <v>356332491.99999994</v>
      </c>
      <c r="DI62" s="286">
        <v>181041205.00000003</v>
      </c>
      <c r="DJ62">
        <v>12</v>
      </c>
      <c r="DK62" s="643">
        <f t="shared" si="74"/>
        <v>12.148631154247422</v>
      </c>
      <c r="DL62" s="408">
        <f t="shared" si="75"/>
        <v>421949282.25847888</v>
      </c>
      <c r="DM62" s="286"/>
      <c r="DN62" s="286"/>
      <c r="EC62" s="598" t="s">
        <v>1790</v>
      </c>
      <c r="ED62" s="296"/>
      <c r="EE62" s="478"/>
      <c r="EF62" s="296"/>
      <c r="EG62" s="477"/>
      <c r="EH62" s="594"/>
      <c r="EI62" s="286"/>
      <c r="EJ62" s="472"/>
      <c r="EK62" s="472"/>
      <c r="EL62" s="596"/>
      <c r="EM62" s="453"/>
      <c r="EN62" s="453"/>
      <c r="EO62" s="453"/>
      <c r="EP62" s="453"/>
      <c r="EQ62" s="453"/>
      <c r="ER62" s="453"/>
      <c r="ES62" s="453"/>
      <c r="ET62" s="453"/>
      <c r="EU62" s="453"/>
      <c r="EV62" s="453"/>
      <c r="FA62" s="671" t="s">
        <v>691</v>
      </c>
      <c r="FB62" s="608">
        <f t="shared" ref="FB62:FB66" si="81">FC62/EO70</f>
        <v>12.427118702622947</v>
      </c>
      <c r="FC62" s="699">
        <f t="shared" ref="FC62:FC66" si="82">EL70*$FC$67</f>
        <v>633.78305383377028</v>
      </c>
      <c r="FD62" s="608">
        <f>FB62*FV29</f>
        <v>1251.5818869981156</v>
      </c>
      <c r="FE62" s="608">
        <f t="shared" ref="FE62:FE66" si="83">FB62</f>
        <v>12.427118702622947</v>
      </c>
      <c r="FF62" s="796">
        <f t="shared" ref="FF62:FF67" si="84">FD62*$EN$27</f>
        <v>2.4790311035203088</v>
      </c>
      <c r="FH62" s="482"/>
      <c r="FI62" s="482"/>
      <c r="FJ62" s="482"/>
      <c r="FK62" s="482"/>
      <c r="FL62" s="567">
        <f>SUM(FL59:FL61)</f>
        <v>1277191</v>
      </c>
      <c r="FM62" s="567">
        <f>SUM(FM59:FM61)</f>
        <v>132328198</v>
      </c>
      <c r="FN62" s="482"/>
      <c r="FO62" s="482"/>
      <c r="FP62" s="482"/>
      <c r="FQ62" s="655">
        <f>FR62/FM62</f>
        <v>231.198769823921</v>
      </c>
      <c r="FR62" s="654">
        <f>SUM(FR59:FR61)</f>
        <v>30594116590.616241</v>
      </c>
      <c r="FS62" s="482"/>
      <c r="FT62" s="928">
        <f>-1*(PMT($EA$23,$EA$24,FQ62,$EA$25*FQ62)/(365*24))</f>
        <v>2.9950269862578257E-2</v>
      </c>
      <c r="FU62" s="929">
        <f>FT62*FV62</f>
        <v>3.1031108428799516</v>
      </c>
      <c r="FV62" s="601">
        <f>FM62/FL62</f>
        <v>103.60877738725061</v>
      </c>
    </row>
    <row r="63" spans="1:178" ht="16" customHeight="1">
      <c r="A63">
        <v>2019</v>
      </c>
      <c r="B63">
        <v>1550</v>
      </c>
      <c r="C63" t="s">
        <v>258</v>
      </c>
      <c r="D63" t="s">
        <v>245</v>
      </c>
      <c r="E63" s="203">
        <v>94</v>
      </c>
      <c r="F63" s="203" t="s">
        <v>250</v>
      </c>
      <c r="G63" s="203" t="s">
        <v>247</v>
      </c>
      <c r="H63" s="204" t="s">
        <v>249</v>
      </c>
      <c r="I63" s="202">
        <v>0</v>
      </c>
      <c r="J63" s="202">
        <v>0</v>
      </c>
      <c r="K63" s="202">
        <v>0</v>
      </c>
      <c r="L63" s="253"/>
      <c r="M63" s="254">
        <v>2019</v>
      </c>
      <c r="N63" s="254">
        <v>3680</v>
      </c>
      <c r="O63" s="255" t="s">
        <v>252</v>
      </c>
      <c r="P63" s="254">
        <v>410</v>
      </c>
      <c r="Q63" s="254">
        <v>227</v>
      </c>
      <c r="R63" s="255" t="s">
        <v>36</v>
      </c>
      <c r="S63" s="255" t="s">
        <v>138</v>
      </c>
      <c r="T63" s="350">
        <v>0</v>
      </c>
      <c r="U63" s="350">
        <v>0</v>
      </c>
      <c r="V63" s="350">
        <v>0</v>
      </c>
      <c r="W63" s="350">
        <v>0</v>
      </c>
      <c r="X63" s="350">
        <v>0</v>
      </c>
      <c r="AA63" s="272">
        <v>2019</v>
      </c>
      <c r="AB63" s="272">
        <v>1550</v>
      </c>
      <c r="AC63" s="273" t="s">
        <v>258</v>
      </c>
      <c r="AD63" s="272" t="s">
        <v>489</v>
      </c>
      <c r="AE63" s="272">
        <v>46</v>
      </c>
      <c r="AF63" s="274" t="s">
        <v>397</v>
      </c>
      <c r="AG63" s="272">
        <v>1030</v>
      </c>
      <c r="AH63" s="272">
        <v>0</v>
      </c>
      <c r="AI63" s="272">
        <v>316</v>
      </c>
      <c r="AJ63" s="272">
        <v>0</v>
      </c>
      <c r="AK63" s="272">
        <v>53827</v>
      </c>
      <c r="AL63" s="352">
        <v>170.33860759493672</v>
      </c>
      <c r="AX63" s="254">
        <v>2019</v>
      </c>
      <c r="AY63" s="254">
        <v>3680</v>
      </c>
      <c r="AZ63" s="255" t="s">
        <v>252</v>
      </c>
      <c r="BA63" s="254">
        <v>410</v>
      </c>
      <c r="BB63" s="254">
        <v>309</v>
      </c>
      <c r="BC63" s="255" t="s">
        <v>555</v>
      </c>
      <c r="BD63" s="255" t="s">
        <v>200</v>
      </c>
      <c r="BE63" s="350">
        <v>0</v>
      </c>
      <c r="BF63" s="350">
        <v>0</v>
      </c>
      <c r="BG63" s="350">
        <v>0</v>
      </c>
      <c r="BH63" s="350">
        <v>49000</v>
      </c>
      <c r="BI63" s="350">
        <v>49000</v>
      </c>
      <c r="BK63" s="272">
        <v>2019</v>
      </c>
      <c r="BL63" s="272">
        <v>2670</v>
      </c>
      <c r="BM63" s="273" t="s">
        <v>257</v>
      </c>
      <c r="BN63" s="272" t="s">
        <v>588</v>
      </c>
      <c r="BO63" s="272">
        <v>65</v>
      </c>
      <c r="BP63" s="441" t="s">
        <v>595</v>
      </c>
      <c r="BQ63" s="272">
        <v>0</v>
      </c>
      <c r="BR63" s="272">
        <v>0</v>
      </c>
      <c r="BS63" s="272">
        <v>0</v>
      </c>
      <c r="BT63" s="272">
        <v>0</v>
      </c>
      <c r="BU63" s="272">
        <v>0</v>
      </c>
      <c r="BV63" s="272">
        <v>0</v>
      </c>
      <c r="BY63" t="str">
        <f t="shared" si="73"/>
        <v>Q</v>
      </c>
      <c r="BZ63" s="362" t="s">
        <v>638</v>
      </c>
      <c r="CA63" s="362">
        <v>1</v>
      </c>
      <c r="CB63" s="362">
        <v>1</v>
      </c>
      <c r="CC63" s="362">
        <f t="shared" si="69"/>
        <v>635</v>
      </c>
      <c r="CD63">
        <f t="shared" si="70"/>
        <v>635</v>
      </c>
      <c r="CE63" s="444">
        <v>635</v>
      </c>
      <c r="CM63" s="299">
        <v>2019</v>
      </c>
      <c r="CN63" s="299">
        <v>1370</v>
      </c>
      <c r="CO63" s="300" t="s">
        <v>255</v>
      </c>
      <c r="CP63" s="299">
        <v>755</v>
      </c>
      <c r="CQ63" s="299">
        <v>30</v>
      </c>
      <c r="CR63" s="294" t="s">
        <v>385</v>
      </c>
      <c r="CS63" s="294" t="s">
        <v>401</v>
      </c>
      <c r="CT63" s="294" t="s">
        <v>403</v>
      </c>
      <c r="CU63" s="301">
        <v>185629000</v>
      </c>
      <c r="DB63">
        <f t="shared" si="72"/>
        <v>14</v>
      </c>
      <c r="DC63" s="595" t="s">
        <v>1016</v>
      </c>
      <c r="DD63" s="595" t="s">
        <v>1017</v>
      </c>
      <c r="DE63" s="595" t="s">
        <v>697</v>
      </c>
      <c r="DF63" s="286">
        <v>100818</v>
      </c>
      <c r="DG63" s="286">
        <v>11441814</v>
      </c>
      <c r="DH63" s="286">
        <v>121549667</v>
      </c>
      <c r="DI63" s="286">
        <v>44546182</v>
      </c>
      <c r="DJ63">
        <v>12</v>
      </c>
      <c r="DK63" s="643">
        <f t="shared" si="74"/>
        <v>12.148631154247422</v>
      </c>
      <c r="DL63" s="408">
        <f t="shared" si="75"/>
        <v>139002378.02150431</v>
      </c>
      <c r="DM63" s="286"/>
      <c r="DN63" s="286"/>
      <c r="EC63" s="289" t="s">
        <v>690</v>
      </c>
      <c r="ED63" s="296">
        <v>4481530</v>
      </c>
      <c r="EE63" s="478">
        <v>1</v>
      </c>
      <c r="EF63" s="296">
        <v>4481530</v>
      </c>
      <c r="EG63" s="477">
        <v>2.0135584440475895</v>
      </c>
      <c r="EH63" s="594">
        <v>4542292.5737525942</v>
      </c>
      <c r="EI63" s="286">
        <v>9023822.5737525932</v>
      </c>
      <c r="EJ63" s="472">
        <f>EF63/EI63</f>
        <v>0.49663321318343889</v>
      </c>
      <c r="EK63" s="472">
        <f>1-EJ63</f>
        <v>0.50336678681656111</v>
      </c>
      <c r="EL63" s="596">
        <v>1</v>
      </c>
      <c r="EM63" s="453">
        <v>36.916666666666664</v>
      </c>
      <c r="EN63" s="453">
        <v>88</v>
      </c>
      <c r="EO63" s="453">
        <v>59.916666666666664</v>
      </c>
      <c r="EP63" s="453">
        <v>15</v>
      </c>
      <c r="EQ63" s="453">
        <v>60</v>
      </c>
      <c r="ER63" s="453">
        <v>31.25</v>
      </c>
      <c r="ES63" s="453">
        <v>50</v>
      </c>
      <c r="ET63" s="453">
        <v>207.65</v>
      </c>
      <c r="EU63" s="453">
        <v>110.7</v>
      </c>
      <c r="EV63" s="453">
        <v>99.47881884088693</v>
      </c>
      <c r="FA63" s="671" t="s">
        <v>689</v>
      </c>
      <c r="FB63" s="608">
        <f t="shared" si="81"/>
        <v>7.215646908257515</v>
      </c>
      <c r="FC63" s="699">
        <f t="shared" si="82"/>
        <v>412.49448158872127</v>
      </c>
      <c r="FD63" s="608">
        <f>FB63*FV15</f>
        <v>719.61168352182335</v>
      </c>
      <c r="FE63" s="608">
        <f t="shared" si="83"/>
        <v>7.215646908257515</v>
      </c>
      <c r="FF63" s="796">
        <f t="shared" si="84"/>
        <v>1.4253480051440686</v>
      </c>
      <c r="FI63" s="2" t="s">
        <v>1208</v>
      </c>
      <c r="FU63" s="2"/>
    </row>
    <row r="64" spans="1:178" ht="16" customHeight="1">
      <c r="A64">
        <v>2019</v>
      </c>
      <c r="B64">
        <v>1550</v>
      </c>
      <c r="C64" t="s">
        <v>258</v>
      </c>
      <c r="D64" t="s">
        <v>245</v>
      </c>
      <c r="E64" s="203">
        <v>97</v>
      </c>
      <c r="F64" s="203" t="s">
        <v>251</v>
      </c>
      <c r="G64" s="203" t="s">
        <v>247</v>
      </c>
      <c r="H64" s="203" t="s">
        <v>248</v>
      </c>
      <c r="I64" s="202">
        <v>1256</v>
      </c>
      <c r="J64" s="202">
        <v>6500</v>
      </c>
      <c r="K64" s="202">
        <v>13517000</v>
      </c>
      <c r="L64" s="253"/>
      <c r="M64" s="254">
        <v>2019</v>
      </c>
      <c r="N64" s="254">
        <v>3680</v>
      </c>
      <c r="O64" s="255" t="s">
        <v>252</v>
      </c>
      <c r="P64" s="254">
        <v>410</v>
      </c>
      <c r="Q64" s="254">
        <v>228</v>
      </c>
      <c r="R64" s="255" t="s">
        <v>36</v>
      </c>
      <c r="S64" s="255" t="s">
        <v>139</v>
      </c>
      <c r="T64" s="350">
        <v>0</v>
      </c>
      <c r="U64" s="350">
        <v>0</v>
      </c>
      <c r="V64" s="350">
        <v>0</v>
      </c>
      <c r="W64" s="350">
        <v>0</v>
      </c>
      <c r="X64" s="350">
        <v>0</v>
      </c>
      <c r="AA64" s="272">
        <v>2019</v>
      </c>
      <c r="AB64" s="272">
        <v>1550</v>
      </c>
      <c r="AC64" s="273" t="s">
        <v>258</v>
      </c>
      <c r="AD64" s="272" t="s">
        <v>489</v>
      </c>
      <c r="AE64" s="272">
        <v>47</v>
      </c>
      <c r="AF64" s="274" t="s">
        <v>398</v>
      </c>
      <c r="AG64" s="272">
        <v>616</v>
      </c>
      <c r="AH64" s="272">
        <v>0</v>
      </c>
      <c r="AI64" s="272">
        <v>462</v>
      </c>
      <c r="AJ64" s="272">
        <v>0</v>
      </c>
      <c r="AK64" s="272">
        <v>20586</v>
      </c>
      <c r="AL64" s="352">
        <v>44.558441558441558</v>
      </c>
      <c r="AX64" s="254">
        <v>2019</v>
      </c>
      <c r="AY64" s="254">
        <v>3680</v>
      </c>
      <c r="AZ64" s="255" t="s">
        <v>252</v>
      </c>
      <c r="BA64" s="254">
        <v>410</v>
      </c>
      <c r="BB64" s="254">
        <v>310</v>
      </c>
      <c r="BC64" s="255" t="s">
        <v>555</v>
      </c>
      <c r="BD64" s="255" t="s">
        <v>201</v>
      </c>
      <c r="BE64" s="350">
        <v>0</v>
      </c>
      <c r="BF64" s="350">
        <v>0</v>
      </c>
      <c r="BG64" s="350">
        <v>0</v>
      </c>
      <c r="BH64" s="350">
        <v>64000</v>
      </c>
      <c r="BI64" s="350">
        <v>64000</v>
      </c>
      <c r="BK64" s="272">
        <v>2019</v>
      </c>
      <c r="BL64" s="272">
        <v>2670</v>
      </c>
      <c r="BM64" s="273" t="s">
        <v>257</v>
      </c>
      <c r="BN64" s="272" t="s">
        <v>588</v>
      </c>
      <c r="BO64" s="272">
        <v>66</v>
      </c>
      <c r="BP64" s="441" t="s">
        <v>596</v>
      </c>
      <c r="BQ64" s="272">
        <v>0</v>
      </c>
      <c r="BR64" s="272">
        <v>0</v>
      </c>
      <c r="BS64" s="272">
        <v>0</v>
      </c>
      <c r="BT64" s="272">
        <v>0</v>
      </c>
      <c r="BU64" s="272">
        <v>0</v>
      </c>
      <c r="BV64" s="272">
        <v>0</v>
      </c>
      <c r="BY64" t="str">
        <f t="shared" si="73"/>
        <v>Q</v>
      </c>
      <c r="BZ64" s="445" t="s">
        <v>639</v>
      </c>
      <c r="CA64" s="445">
        <v>3</v>
      </c>
      <c r="CB64" s="445">
        <v>1</v>
      </c>
      <c r="CC64" s="362">
        <f t="shared" si="69"/>
        <v>1041</v>
      </c>
      <c r="CD64" s="406">
        <f t="shared" si="70"/>
        <v>1041</v>
      </c>
      <c r="CE64" s="446">
        <v>347</v>
      </c>
      <c r="CM64" s="299">
        <v>2019</v>
      </c>
      <c r="CN64" s="299">
        <v>1370</v>
      </c>
      <c r="CO64" s="300" t="s">
        <v>255</v>
      </c>
      <c r="CP64" s="299">
        <v>755</v>
      </c>
      <c r="CQ64" s="299">
        <v>31</v>
      </c>
      <c r="CR64" s="294" t="s">
        <v>385</v>
      </c>
      <c r="CS64" s="294" t="s">
        <v>404</v>
      </c>
      <c r="CT64" s="294" t="s">
        <v>387</v>
      </c>
      <c r="CU64" s="301">
        <v>0</v>
      </c>
      <c r="DB64">
        <f t="shared" si="72"/>
        <v>14</v>
      </c>
      <c r="DC64" s="595" t="s">
        <v>1016</v>
      </c>
      <c r="DD64" s="595" t="s">
        <v>1017</v>
      </c>
      <c r="DE64" s="595" t="s">
        <v>698</v>
      </c>
      <c r="DF64" s="286">
        <v>327216</v>
      </c>
      <c r="DG64" s="286">
        <v>33402990.000000004</v>
      </c>
      <c r="DH64" s="286">
        <v>333989899</v>
      </c>
      <c r="DI64" s="286">
        <v>173289210.00000003</v>
      </c>
      <c r="DJ64">
        <v>12</v>
      </c>
      <c r="DK64" s="643">
        <f t="shared" si="74"/>
        <v>12.148631154247422</v>
      </c>
      <c r="DL64" s="408">
        <f t="shared" si="75"/>
        <v>405800604.95901513</v>
      </c>
      <c r="DM64" s="286"/>
      <c r="DN64" s="286"/>
      <c r="EC64" s="598"/>
      <c r="EW64" s="453"/>
      <c r="FA64" s="671" t="s">
        <v>696</v>
      </c>
      <c r="FB64" s="608">
        <f t="shared" si="81"/>
        <v>9.3121183689798992E-2</v>
      </c>
      <c r="FC64" s="699">
        <f t="shared" si="82"/>
        <v>5.3156675689593591</v>
      </c>
      <c r="FD64" s="608">
        <f>FB64*FV29</f>
        <v>9.3785848184887168</v>
      </c>
      <c r="FE64" s="608">
        <f t="shared" si="83"/>
        <v>9.3121183689798992E-2</v>
      </c>
      <c r="FF64" s="796">
        <f t="shared" si="84"/>
        <v>1.8576334248333451E-2</v>
      </c>
      <c r="FH64" t="s">
        <v>797</v>
      </c>
      <c r="FI64" t="s">
        <v>804</v>
      </c>
      <c r="FJ64" t="s">
        <v>805</v>
      </c>
      <c r="FK64" t="s">
        <v>800</v>
      </c>
      <c r="FL64" t="s">
        <v>678</v>
      </c>
      <c r="FM64" t="s">
        <v>794</v>
      </c>
      <c r="FN64" t="s">
        <v>353</v>
      </c>
      <c r="FO64" t="s">
        <v>803</v>
      </c>
      <c r="FP64" t="s">
        <v>1627</v>
      </c>
      <c r="FQ64" t="s">
        <v>1628</v>
      </c>
      <c r="FR64" t="s">
        <v>1680</v>
      </c>
      <c r="FS64" t="s">
        <v>1815</v>
      </c>
      <c r="FU64" s="2"/>
    </row>
    <row r="65" spans="1:177" ht="16" customHeight="1">
      <c r="A65">
        <v>2019</v>
      </c>
      <c r="B65">
        <v>1550</v>
      </c>
      <c r="C65" t="s">
        <v>258</v>
      </c>
      <c r="D65" t="s">
        <v>245</v>
      </c>
      <c r="E65" s="203">
        <v>98</v>
      </c>
      <c r="F65" s="203" t="s">
        <v>251</v>
      </c>
      <c r="G65" s="203" t="s">
        <v>247</v>
      </c>
      <c r="H65" s="204" t="s">
        <v>249</v>
      </c>
      <c r="I65" s="202">
        <v>0</v>
      </c>
      <c r="J65" s="202">
        <v>0</v>
      </c>
      <c r="K65" s="202">
        <v>0</v>
      </c>
      <c r="L65" s="253"/>
      <c r="M65" s="254">
        <v>2019</v>
      </c>
      <c r="N65" s="254">
        <v>3680</v>
      </c>
      <c r="O65" s="255" t="s">
        <v>252</v>
      </c>
      <c r="P65" s="254">
        <v>410</v>
      </c>
      <c r="Q65" s="254">
        <v>229</v>
      </c>
      <c r="R65" s="255" t="s">
        <v>36</v>
      </c>
      <c r="S65" s="255" t="s">
        <v>140</v>
      </c>
      <c r="T65" s="350">
        <v>0</v>
      </c>
      <c r="U65" s="350">
        <v>0</v>
      </c>
      <c r="V65" s="350">
        <v>0</v>
      </c>
      <c r="W65" s="350">
        <v>0</v>
      </c>
      <c r="X65" s="350">
        <v>0</v>
      </c>
      <c r="AA65" s="272">
        <v>2019</v>
      </c>
      <c r="AB65" s="272">
        <v>1550</v>
      </c>
      <c r="AC65" s="273" t="s">
        <v>258</v>
      </c>
      <c r="AD65" s="272" t="s">
        <v>489</v>
      </c>
      <c r="AE65" s="272">
        <v>48</v>
      </c>
      <c r="AF65" s="274" t="s">
        <v>399</v>
      </c>
      <c r="AG65" s="272">
        <v>1</v>
      </c>
      <c r="AH65" s="272">
        <v>0</v>
      </c>
      <c r="AI65" s="272">
        <v>1</v>
      </c>
      <c r="AJ65" s="272">
        <v>0</v>
      </c>
      <c r="AK65" s="272">
        <v>79</v>
      </c>
      <c r="AL65" s="352">
        <v>79</v>
      </c>
      <c r="AX65" s="254">
        <v>2019</v>
      </c>
      <c r="AY65" s="254">
        <v>3680</v>
      </c>
      <c r="AZ65" s="255" t="s">
        <v>252</v>
      </c>
      <c r="BA65" s="254">
        <v>410</v>
      </c>
      <c r="BB65" s="254">
        <v>311</v>
      </c>
      <c r="BC65" s="255" t="s">
        <v>555</v>
      </c>
      <c r="BD65" s="255" t="s">
        <v>137</v>
      </c>
      <c r="BE65" s="350">
        <v>0</v>
      </c>
      <c r="BF65" s="350">
        <v>0</v>
      </c>
      <c r="BG65" s="350">
        <v>1944000</v>
      </c>
      <c r="BH65" s="350">
        <v>0</v>
      </c>
      <c r="BI65" s="350">
        <v>1944000</v>
      </c>
      <c r="BK65" s="272">
        <v>2019</v>
      </c>
      <c r="BL65" s="272">
        <v>2670</v>
      </c>
      <c r="BM65" s="273" t="s">
        <v>257</v>
      </c>
      <c r="BN65" s="272" t="s">
        <v>588</v>
      </c>
      <c r="BO65" s="272">
        <v>67</v>
      </c>
      <c r="BP65" s="441" t="s">
        <v>597</v>
      </c>
      <c r="BQ65" s="272">
        <v>0</v>
      </c>
      <c r="BR65" s="272">
        <v>0</v>
      </c>
      <c r="BS65" s="272">
        <v>0</v>
      </c>
      <c r="BT65" s="272">
        <v>0</v>
      </c>
      <c r="BU65" s="272">
        <v>0</v>
      </c>
      <c r="BV65" s="272">
        <v>0</v>
      </c>
      <c r="BZ65" s="455"/>
      <c r="CA65" s="456">
        <f>CD65/CE65</f>
        <v>2.7582434899082089</v>
      </c>
      <c r="CB65" s="456">
        <f>CC65/CE65</f>
        <v>5.1420992501739962</v>
      </c>
      <c r="CC65" s="457">
        <f>SUM(CC33:CC64)</f>
        <v>391576</v>
      </c>
      <c r="CD65" s="457">
        <f>SUM(CD33:CD64)</f>
        <v>210043</v>
      </c>
      <c r="CE65" s="457">
        <f>SUM(CE33:CE64)</f>
        <v>76151</v>
      </c>
      <c r="CM65" s="299">
        <v>2019</v>
      </c>
      <c r="CN65" s="299">
        <v>1370</v>
      </c>
      <c r="CO65" s="300" t="s">
        <v>255</v>
      </c>
      <c r="CP65" s="299">
        <v>755</v>
      </c>
      <c r="CQ65" s="299">
        <v>32</v>
      </c>
      <c r="CR65" s="294" t="s">
        <v>385</v>
      </c>
      <c r="CS65" s="294" t="s">
        <v>404</v>
      </c>
      <c r="CT65" s="294" t="s">
        <v>388</v>
      </c>
      <c r="CU65" s="301">
        <v>3611000</v>
      </c>
      <c r="DB65">
        <f t="shared" si="72"/>
        <v>14</v>
      </c>
      <c r="DC65" s="595" t="s">
        <v>1016</v>
      </c>
      <c r="DD65" s="595" t="s">
        <v>1017</v>
      </c>
      <c r="DE65" s="595" t="s">
        <v>696</v>
      </c>
      <c r="DF65" s="286">
        <v>5906</v>
      </c>
      <c r="DG65" s="286">
        <v>561749</v>
      </c>
      <c r="DH65" s="286">
        <v>6250546</v>
      </c>
      <c r="DI65" s="286">
        <v>1983155</v>
      </c>
      <c r="DJ65">
        <v>12</v>
      </c>
      <c r="DK65" s="643">
        <f t="shared" si="74"/>
        <v>12.148631154247422</v>
      </c>
      <c r="DL65" s="408">
        <f t="shared" si="75"/>
        <v>6824481.402267335</v>
      </c>
      <c r="DM65" s="286"/>
      <c r="DN65" s="286"/>
      <c r="EC65" s="598" t="s">
        <v>1791</v>
      </c>
      <c r="ED65" s="296"/>
      <c r="EE65" s="478"/>
      <c r="EF65" s="296"/>
      <c r="EG65" s="477"/>
      <c r="EH65" s="594"/>
      <c r="EI65" s="286"/>
      <c r="EJ65" s="472"/>
      <c r="EK65" s="472"/>
      <c r="EL65" s="596"/>
      <c r="EM65" s="453"/>
      <c r="EN65" s="453"/>
      <c r="EO65" s="453"/>
      <c r="EP65" s="453"/>
      <c r="EQ65" s="453"/>
      <c r="ER65" s="453"/>
      <c r="ES65" s="453"/>
      <c r="ET65" s="453"/>
      <c r="EU65" s="453"/>
      <c r="EV65" s="453"/>
      <c r="FA65" s="671" t="s">
        <v>697</v>
      </c>
      <c r="FB65" s="608">
        <f t="shared" si="81"/>
        <v>45.531475774969472</v>
      </c>
      <c r="FC65" s="699">
        <f t="shared" si="82"/>
        <v>2416.9625057212961</v>
      </c>
      <c r="FD65" s="608">
        <f>FB65*FV34</f>
        <v>5167.3577829624328</v>
      </c>
      <c r="FE65" s="608">
        <f t="shared" si="83"/>
        <v>45.531475774969472</v>
      </c>
      <c r="FF65" s="796">
        <f t="shared" si="84"/>
        <v>10.235079941677762</v>
      </c>
      <c r="FH65">
        <v>1</v>
      </c>
      <c r="FI65" t="s">
        <v>895</v>
      </c>
      <c r="FJ65" t="s">
        <v>896</v>
      </c>
      <c r="FK65" t="s">
        <v>690</v>
      </c>
      <c r="FL65" s="286">
        <v>640631</v>
      </c>
      <c r="FM65" s="286">
        <v>66748265</v>
      </c>
      <c r="FN65" s="286">
        <v>2314075723</v>
      </c>
      <c r="FO65" s="286">
        <v>1350585685</v>
      </c>
      <c r="FP65">
        <v>2</v>
      </c>
      <c r="FQ65" s="925">
        <v>122.96653784550514</v>
      </c>
      <c r="FR65" s="926">
        <v>8207803054.2443066</v>
      </c>
      <c r="FS65">
        <v>1</v>
      </c>
      <c r="FU65" s="2"/>
    </row>
    <row r="66" spans="1:177" ht="16" customHeight="1">
      <c r="A66">
        <v>2018</v>
      </c>
      <c r="B66">
        <v>3740</v>
      </c>
      <c r="C66" t="s">
        <v>244</v>
      </c>
      <c r="D66" t="s">
        <v>245</v>
      </c>
      <c r="E66" s="203">
        <v>91</v>
      </c>
      <c r="F66" s="203" t="s">
        <v>246</v>
      </c>
      <c r="G66" s="203" t="s">
        <v>247</v>
      </c>
      <c r="H66" s="203" t="s">
        <v>248</v>
      </c>
      <c r="I66" s="202">
        <v>48</v>
      </c>
      <c r="J66" s="202">
        <v>10268</v>
      </c>
      <c r="K66" s="202">
        <v>155628000</v>
      </c>
      <c r="L66" s="253"/>
      <c r="M66" s="254">
        <v>2019</v>
      </c>
      <c r="N66" s="254">
        <v>3680</v>
      </c>
      <c r="O66" s="255" t="s">
        <v>252</v>
      </c>
      <c r="P66" s="254">
        <v>410</v>
      </c>
      <c r="Q66" s="254">
        <v>230</v>
      </c>
      <c r="R66" s="255" t="s">
        <v>36</v>
      </c>
      <c r="S66" s="255" t="s">
        <v>141</v>
      </c>
      <c r="T66" s="350">
        <v>0</v>
      </c>
      <c r="U66" s="350">
        <v>0</v>
      </c>
      <c r="V66" s="350">
        <v>48075000</v>
      </c>
      <c r="W66" s="350">
        <v>0</v>
      </c>
      <c r="X66" s="350">
        <v>48075000</v>
      </c>
      <c r="AA66" s="272">
        <v>2019</v>
      </c>
      <c r="AB66" s="272">
        <v>1550</v>
      </c>
      <c r="AC66" s="273" t="s">
        <v>258</v>
      </c>
      <c r="AD66" s="272" t="s">
        <v>489</v>
      </c>
      <c r="AE66" s="272">
        <v>49</v>
      </c>
      <c r="AF66" s="274" t="s">
        <v>490</v>
      </c>
      <c r="AG66" s="272">
        <v>1646</v>
      </c>
      <c r="AH66" s="272">
        <v>0</v>
      </c>
      <c r="AI66" s="272">
        <v>1180</v>
      </c>
      <c r="AJ66" s="272">
        <v>0</v>
      </c>
      <c r="AK66" s="272">
        <v>115721</v>
      </c>
      <c r="AL66" s="352">
        <v>98.068644067796612</v>
      </c>
      <c r="AX66" s="254">
        <v>2019</v>
      </c>
      <c r="AY66" s="254">
        <v>3680</v>
      </c>
      <c r="AZ66" s="255" t="s">
        <v>252</v>
      </c>
      <c r="BA66" s="254">
        <v>410</v>
      </c>
      <c r="BB66" s="254">
        <v>312</v>
      </c>
      <c r="BC66" s="255" t="s">
        <v>555</v>
      </c>
      <c r="BD66" s="255" t="s">
        <v>138</v>
      </c>
      <c r="BE66" s="350">
        <v>0</v>
      </c>
      <c r="BF66" s="350">
        <v>0</v>
      </c>
      <c r="BG66" s="350">
        <v>-22000</v>
      </c>
      <c r="BH66" s="350">
        <v>0</v>
      </c>
      <c r="BI66" s="350">
        <v>-22000</v>
      </c>
      <c r="BK66" s="272">
        <v>2019</v>
      </c>
      <c r="BL66" s="272">
        <v>2670</v>
      </c>
      <c r="BM66" s="273" t="s">
        <v>257</v>
      </c>
      <c r="BN66" s="272" t="s">
        <v>588</v>
      </c>
      <c r="BO66" s="272">
        <v>68</v>
      </c>
      <c r="BP66" s="441" t="s">
        <v>598</v>
      </c>
      <c r="BQ66" s="272">
        <v>0</v>
      </c>
      <c r="BR66" s="272">
        <v>0</v>
      </c>
      <c r="BS66" s="272">
        <v>0</v>
      </c>
      <c r="BT66" s="272">
        <v>0</v>
      </c>
      <c r="BU66" s="272">
        <v>0</v>
      </c>
      <c r="BV66" s="272">
        <v>0</v>
      </c>
      <c r="BZ66" s="450"/>
      <c r="CA66" s="465"/>
      <c r="CB66" s="467" t="s">
        <v>653</v>
      </c>
      <c r="CC66" s="466"/>
      <c r="CD66" s="466"/>
      <c r="CE66" s="466"/>
      <c r="CM66" s="299">
        <v>2019</v>
      </c>
      <c r="CN66" s="299">
        <v>1370</v>
      </c>
      <c r="CO66" s="300" t="s">
        <v>255</v>
      </c>
      <c r="CP66" s="299">
        <v>755</v>
      </c>
      <c r="CQ66" s="299">
        <v>33</v>
      </c>
      <c r="CR66" s="294" t="s">
        <v>385</v>
      </c>
      <c r="CS66" s="294" t="s">
        <v>404</v>
      </c>
      <c r="CT66" s="294" t="s">
        <v>389</v>
      </c>
      <c r="CU66" s="301">
        <v>33760000</v>
      </c>
      <c r="DB66">
        <f t="shared" si="72"/>
        <v>14</v>
      </c>
      <c r="DC66" s="595" t="s">
        <v>1081</v>
      </c>
      <c r="DD66" s="595" t="s">
        <v>1082</v>
      </c>
      <c r="DE66" s="595" t="s">
        <v>698</v>
      </c>
      <c r="DF66" s="286">
        <v>2000</v>
      </c>
      <c r="DG66" s="286">
        <v>231674</v>
      </c>
      <c r="DH66" s="286">
        <v>1630413</v>
      </c>
      <c r="DI66" s="286">
        <v>1034321.9999999999</v>
      </c>
      <c r="DJ66">
        <v>11</v>
      </c>
      <c r="DK66" s="643">
        <f t="shared" si="74"/>
        <v>18.422893971718388</v>
      </c>
      <c r="DL66" s="408">
        <f t="shared" si="75"/>
        <v>4268105.5380038861</v>
      </c>
      <c r="DM66" s="286"/>
      <c r="DN66" s="286"/>
      <c r="EC66" s="289" t="s">
        <v>691</v>
      </c>
      <c r="ED66" s="296">
        <v>758141</v>
      </c>
      <c r="EE66" s="478">
        <v>1</v>
      </c>
      <c r="EF66" s="296">
        <v>758141</v>
      </c>
      <c r="EG66" s="477">
        <v>2.0178512661050467</v>
      </c>
      <c r="EH66" s="594">
        <v>771674.77673614619</v>
      </c>
      <c r="EI66" s="286">
        <v>1529815.7767361463</v>
      </c>
      <c r="EJ66" s="472">
        <f t="shared" ref="EJ66" si="85">EF66/EI66</f>
        <v>0.49557666454289662</v>
      </c>
      <c r="EK66" s="472">
        <f>1-EJ66</f>
        <v>0.50442333545710338</v>
      </c>
      <c r="EL66" s="596">
        <v>1</v>
      </c>
      <c r="EM66" s="453">
        <v>32.333333333333336</v>
      </c>
      <c r="EN66" s="453">
        <v>75.583333333333329</v>
      </c>
      <c r="EO66" s="453">
        <v>51</v>
      </c>
      <c r="EP66" s="453">
        <v>17</v>
      </c>
      <c r="EQ66" s="453">
        <v>45.9</v>
      </c>
      <c r="ER66" s="453">
        <v>28.4</v>
      </c>
      <c r="ES66" s="453">
        <v>70</v>
      </c>
      <c r="ET66" s="453">
        <v>122.5</v>
      </c>
      <c r="EU66" s="453">
        <v>112.45</v>
      </c>
      <c r="EV66" s="453">
        <v>101.80793282516049</v>
      </c>
      <c r="FA66" s="548" t="s">
        <v>698</v>
      </c>
      <c r="FB66" s="606">
        <f t="shared" si="81"/>
        <v>34.419350862943652</v>
      </c>
      <c r="FC66" s="704">
        <f t="shared" si="82"/>
        <v>1827.0938749745924</v>
      </c>
      <c r="FD66" s="606">
        <f>FB66*FV39</f>
        <v>3513.6094588326923</v>
      </c>
      <c r="FE66" s="606">
        <f t="shared" si="83"/>
        <v>34.419350862943652</v>
      </c>
      <c r="FF66" s="676">
        <f t="shared" si="84"/>
        <v>6.9594704306251431</v>
      </c>
      <c r="FH66">
        <v>1</v>
      </c>
      <c r="FI66" t="s">
        <v>901</v>
      </c>
      <c r="FJ66" t="s">
        <v>902</v>
      </c>
      <c r="FK66" t="s">
        <v>690</v>
      </c>
      <c r="FL66" s="286">
        <v>391703</v>
      </c>
      <c r="FM66" s="286">
        <v>39830838</v>
      </c>
      <c r="FN66" s="286">
        <v>1584015892</v>
      </c>
      <c r="FO66" s="286">
        <v>755167163</v>
      </c>
      <c r="FP66">
        <v>2</v>
      </c>
      <c r="FQ66" s="925">
        <v>122.96653784550514</v>
      </c>
      <c r="FR66" s="926">
        <v>4897860248.3451843</v>
      </c>
      <c r="FS66">
        <v>1</v>
      </c>
      <c r="FU66" s="2"/>
    </row>
    <row r="67" spans="1:177" ht="16" customHeight="1">
      <c r="A67">
        <v>2018</v>
      </c>
      <c r="B67">
        <v>3740</v>
      </c>
      <c r="C67" t="s">
        <v>244</v>
      </c>
      <c r="D67" t="s">
        <v>245</v>
      </c>
      <c r="E67" s="203">
        <v>92</v>
      </c>
      <c r="F67" s="203" t="s">
        <v>246</v>
      </c>
      <c r="G67" s="203" t="s">
        <v>247</v>
      </c>
      <c r="H67" s="204" t="s">
        <v>249</v>
      </c>
      <c r="I67" s="202">
        <v>203</v>
      </c>
      <c r="J67" s="202">
        <v>37433</v>
      </c>
      <c r="K67" s="202">
        <v>72107000</v>
      </c>
      <c r="L67" s="253"/>
      <c r="M67" s="254">
        <v>2019</v>
      </c>
      <c r="N67" s="254">
        <v>3680</v>
      </c>
      <c r="O67" s="255" t="s">
        <v>252</v>
      </c>
      <c r="P67" s="254">
        <v>410</v>
      </c>
      <c r="Q67" s="254">
        <v>231</v>
      </c>
      <c r="R67" s="255" t="s">
        <v>36</v>
      </c>
      <c r="S67" s="255" t="s">
        <v>142</v>
      </c>
      <c r="T67" s="350">
        <v>0</v>
      </c>
      <c r="U67" s="350">
        <v>0</v>
      </c>
      <c r="V67" s="350">
        <v>-69715000</v>
      </c>
      <c r="W67" s="350">
        <v>0</v>
      </c>
      <c r="X67" s="350">
        <v>-69715000</v>
      </c>
      <c r="AA67" s="272">
        <v>2019</v>
      </c>
      <c r="AB67" s="272">
        <v>1550</v>
      </c>
      <c r="AC67" s="273" t="s">
        <v>258</v>
      </c>
      <c r="AD67" s="272" t="s">
        <v>489</v>
      </c>
      <c r="AE67" s="272">
        <v>50</v>
      </c>
      <c r="AF67" s="274" t="s">
        <v>408</v>
      </c>
      <c r="AG67" s="272">
        <v>0</v>
      </c>
      <c r="AH67" s="272">
        <v>0</v>
      </c>
      <c r="AI67" s="272">
        <v>0</v>
      </c>
      <c r="AJ67" s="272">
        <v>0</v>
      </c>
      <c r="AK67" s="272">
        <v>0</v>
      </c>
      <c r="AL67" s="352">
        <v>0</v>
      </c>
      <c r="AX67" s="254">
        <v>2019</v>
      </c>
      <c r="AY67" s="254">
        <v>3680</v>
      </c>
      <c r="AZ67" s="255" t="s">
        <v>252</v>
      </c>
      <c r="BA67" s="254">
        <v>410</v>
      </c>
      <c r="BB67" s="254">
        <v>313</v>
      </c>
      <c r="BC67" s="255" t="s">
        <v>555</v>
      </c>
      <c r="BD67" s="255" t="s">
        <v>139</v>
      </c>
      <c r="BE67" s="350">
        <v>0</v>
      </c>
      <c r="BF67" s="350">
        <v>0</v>
      </c>
      <c r="BG67" s="350">
        <v>0</v>
      </c>
      <c r="BH67" s="350">
        <v>0</v>
      </c>
      <c r="BI67" s="350">
        <v>0</v>
      </c>
      <c r="BK67" s="272">
        <v>2019</v>
      </c>
      <c r="BL67" s="272">
        <v>2670</v>
      </c>
      <c r="BM67" s="273" t="s">
        <v>257</v>
      </c>
      <c r="BN67" s="272" t="s">
        <v>588</v>
      </c>
      <c r="BO67" s="272">
        <v>69</v>
      </c>
      <c r="BP67" s="441" t="s">
        <v>599</v>
      </c>
      <c r="BQ67" s="272">
        <v>0</v>
      </c>
      <c r="BR67" s="272">
        <v>0</v>
      </c>
      <c r="BS67" s="272">
        <v>0</v>
      </c>
      <c r="BT67" s="272">
        <v>0</v>
      </c>
      <c r="BU67" s="272">
        <v>0</v>
      </c>
      <c r="BV67" s="272">
        <v>0</v>
      </c>
      <c r="CM67" s="299">
        <v>2019</v>
      </c>
      <c r="CN67" s="299">
        <v>1370</v>
      </c>
      <c r="CO67" s="300" t="s">
        <v>255</v>
      </c>
      <c r="CP67" s="299">
        <v>755</v>
      </c>
      <c r="CQ67" s="299">
        <v>34</v>
      </c>
      <c r="CR67" s="294" t="s">
        <v>385</v>
      </c>
      <c r="CS67" s="294" t="s">
        <v>404</v>
      </c>
      <c r="CT67" s="294" t="s">
        <v>390</v>
      </c>
      <c r="CU67" s="301">
        <v>6438000</v>
      </c>
      <c r="DB67">
        <f t="shared" si="72"/>
        <v>14</v>
      </c>
      <c r="DC67" s="595" t="s">
        <v>1075</v>
      </c>
      <c r="DD67" s="595" t="s">
        <v>1076</v>
      </c>
      <c r="DE67" s="595" t="s">
        <v>688</v>
      </c>
      <c r="DF67" s="286">
        <v>5819</v>
      </c>
      <c r="DG67" s="286">
        <v>605092</v>
      </c>
      <c r="DH67" s="286">
        <v>6618554</v>
      </c>
      <c r="DI67" s="286">
        <v>2246640</v>
      </c>
      <c r="DJ67">
        <v>12</v>
      </c>
      <c r="DK67" s="643">
        <f t="shared" si="74"/>
        <v>12.148631154247422</v>
      </c>
      <c r="DL67" s="408">
        <f t="shared" si="75"/>
        <v>7351039.5223858813</v>
      </c>
      <c r="DM67" s="286"/>
      <c r="DN67" s="286"/>
      <c r="EC67" s="598"/>
      <c r="EW67" s="453"/>
      <c r="FA67" s="548" t="s">
        <v>1598</v>
      </c>
      <c r="FB67" s="606">
        <f>SUM(FB61:FB66)</f>
        <v>103.87810882858668</v>
      </c>
      <c r="FC67" s="606">
        <f>EQ18</f>
        <v>5537.3533848626294</v>
      </c>
      <c r="FD67" s="606">
        <f>SUM(FD61:FD66)</f>
        <v>11110.223707269015</v>
      </c>
      <c r="FE67" s="606">
        <f>FB67</f>
        <v>103.87810882858668</v>
      </c>
      <c r="FF67" s="676">
        <f t="shared" si="84"/>
        <v>22.006223023448143</v>
      </c>
      <c r="FH67">
        <v>1</v>
      </c>
      <c r="FI67" t="s">
        <v>907</v>
      </c>
      <c r="FJ67" t="s">
        <v>908</v>
      </c>
      <c r="FK67" t="s">
        <v>690</v>
      </c>
      <c r="FL67" s="286">
        <v>244857</v>
      </c>
      <c r="FM67" s="286">
        <v>25749095</v>
      </c>
      <c r="FN67" s="286">
        <v>935517350.00000012</v>
      </c>
      <c r="FO67" s="286">
        <v>497490199</v>
      </c>
      <c r="FP67">
        <v>3</v>
      </c>
      <c r="FQ67" s="925">
        <v>679.18710494589243</v>
      </c>
      <c r="FR67" s="926">
        <v>17488453288.026752</v>
      </c>
      <c r="FS67">
        <v>1</v>
      </c>
      <c r="FU67" s="2"/>
    </row>
    <row r="68" spans="1:177" ht="16" customHeight="1">
      <c r="A68">
        <v>2018</v>
      </c>
      <c r="B68">
        <v>3740</v>
      </c>
      <c r="C68" t="s">
        <v>244</v>
      </c>
      <c r="D68" t="s">
        <v>245</v>
      </c>
      <c r="E68" s="203">
        <v>93</v>
      </c>
      <c r="F68" s="203" t="s">
        <v>250</v>
      </c>
      <c r="G68" s="203" t="s">
        <v>247</v>
      </c>
      <c r="H68" s="203" t="s">
        <v>248</v>
      </c>
      <c r="I68" s="202">
        <v>689</v>
      </c>
      <c r="J68" s="202">
        <v>21561</v>
      </c>
      <c r="K68" s="202">
        <v>29977000</v>
      </c>
      <c r="L68" s="253"/>
      <c r="M68" s="254">
        <v>2019</v>
      </c>
      <c r="N68" s="254">
        <v>3680</v>
      </c>
      <c r="O68" s="255" t="s">
        <v>252</v>
      </c>
      <c r="P68" s="254">
        <v>410</v>
      </c>
      <c r="Q68" s="254">
        <v>232</v>
      </c>
      <c r="R68" s="255" t="s">
        <v>36</v>
      </c>
      <c r="S68" s="255" t="s">
        <v>145</v>
      </c>
      <c r="T68" s="350">
        <v>0</v>
      </c>
      <c r="U68" s="350">
        <v>0</v>
      </c>
      <c r="V68" s="350">
        <v>0</v>
      </c>
      <c r="W68" s="350">
        <v>6006000</v>
      </c>
      <c r="X68" s="350">
        <v>6006000</v>
      </c>
      <c r="AA68" s="272">
        <v>2019</v>
      </c>
      <c r="AB68" s="272">
        <v>1550</v>
      </c>
      <c r="AC68" s="273" t="s">
        <v>258</v>
      </c>
      <c r="AD68" s="272" t="s">
        <v>489</v>
      </c>
      <c r="AE68" s="272">
        <v>51</v>
      </c>
      <c r="AF68" s="274" t="s">
        <v>409</v>
      </c>
      <c r="AG68" s="272">
        <v>0</v>
      </c>
      <c r="AH68" s="272">
        <v>4</v>
      </c>
      <c r="AI68" s="272">
        <v>0</v>
      </c>
      <c r="AJ68" s="272">
        <v>4</v>
      </c>
      <c r="AK68" s="272">
        <v>396</v>
      </c>
      <c r="AL68" s="352">
        <v>0</v>
      </c>
      <c r="AX68" s="254">
        <v>2019</v>
      </c>
      <c r="AY68" s="254">
        <v>3680</v>
      </c>
      <c r="AZ68" s="255" t="s">
        <v>252</v>
      </c>
      <c r="BA68" s="254">
        <v>410</v>
      </c>
      <c r="BB68" s="254">
        <v>314</v>
      </c>
      <c r="BC68" s="255" t="s">
        <v>555</v>
      </c>
      <c r="BD68" s="255" t="s">
        <v>140</v>
      </c>
      <c r="BE68" s="350">
        <v>0</v>
      </c>
      <c r="BF68" s="350">
        <v>0</v>
      </c>
      <c r="BG68" s="350">
        <v>0</v>
      </c>
      <c r="BH68" s="350">
        <v>0</v>
      </c>
      <c r="BI68" s="350">
        <v>0</v>
      </c>
      <c r="BK68" s="272">
        <v>2019</v>
      </c>
      <c r="BL68" s="272">
        <v>2670</v>
      </c>
      <c r="BM68" s="273" t="s">
        <v>257</v>
      </c>
      <c r="BN68" s="272" t="s">
        <v>588</v>
      </c>
      <c r="BO68" s="272">
        <v>70</v>
      </c>
      <c r="BP68" s="441" t="s">
        <v>600</v>
      </c>
      <c r="BQ68" s="272">
        <v>0</v>
      </c>
      <c r="BR68" s="272">
        <v>0</v>
      </c>
      <c r="BS68" s="272">
        <v>0</v>
      </c>
      <c r="BT68" s="272">
        <v>0</v>
      </c>
      <c r="BU68" s="272">
        <v>0</v>
      </c>
      <c r="BV68" s="272">
        <v>0</v>
      </c>
      <c r="BY68" s="458" t="s">
        <v>648</v>
      </c>
      <c r="BZ68" s="406"/>
      <c r="CA68" s="406"/>
      <c r="CB68" s="406"/>
      <c r="CM68" s="299">
        <v>2019</v>
      </c>
      <c r="CN68" s="299">
        <v>1370</v>
      </c>
      <c r="CO68" s="300" t="s">
        <v>255</v>
      </c>
      <c r="CP68" s="299">
        <v>755</v>
      </c>
      <c r="CQ68" s="299">
        <v>35</v>
      </c>
      <c r="CR68" s="294" t="s">
        <v>385</v>
      </c>
      <c r="CS68" s="294" t="s">
        <v>404</v>
      </c>
      <c r="CT68" s="294" t="s">
        <v>391</v>
      </c>
      <c r="CU68" s="301">
        <v>13196000</v>
      </c>
      <c r="DB68">
        <f t="shared" si="72"/>
        <v>14</v>
      </c>
      <c r="DC68" s="595" t="s">
        <v>1075</v>
      </c>
      <c r="DD68" s="595" t="s">
        <v>1076</v>
      </c>
      <c r="DE68" s="595" t="s">
        <v>698</v>
      </c>
      <c r="DF68" s="286">
        <v>18352</v>
      </c>
      <c r="DG68" s="286">
        <v>845260</v>
      </c>
      <c r="DH68" s="286">
        <v>17648048.000000004</v>
      </c>
      <c r="DI68" s="286">
        <v>9457862.0000000019</v>
      </c>
      <c r="DJ68">
        <v>12</v>
      </c>
      <c r="DK68" s="643">
        <f t="shared" si="74"/>
        <v>12.148631154247422</v>
      </c>
      <c r="DL68" s="408">
        <f t="shared" si="75"/>
        <v>10268751.969439175</v>
      </c>
      <c r="DM68" s="286"/>
      <c r="DN68" s="286"/>
      <c r="EC68" s="598" t="s">
        <v>1793</v>
      </c>
      <c r="ED68" s="296"/>
      <c r="EE68" s="478"/>
      <c r="EF68" s="296"/>
      <c r="EG68" s="477"/>
      <c r="EH68" s="594"/>
      <c r="EI68" s="286"/>
      <c r="EJ68" s="472"/>
      <c r="EK68" s="472"/>
      <c r="EL68" s="596"/>
      <c r="EM68" s="453"/>
      <c r="EN68" s="453"/>
      <c r="EO68" s="453"/>
      <c r="EP68" s="453"/>
      <c r="EQ68" s="453"/>
      <c r="ER68" s="453"/>
      <c r="ES68" s="453"/>
      <c r="ET68" s="453"/>
      <c r="EU68" s="453"/>
      <c r="EV68" s="453"/>
      <c r="FH68">
        <v>20</v>
      </c>
      <c r="FI68" t="s">
        <v>961</v>
      </c>
      <c r="FJ68" t="s">
        <v>962</v>
      </c>
      <c r="FK68" t="s">
        <v>690</v>
      </c>
      <c r="FL68" s="286">
        <v>86425</v>
      </c>
      <c r="FM68" s="286">
        <v>8465994.9999999981</v>
      </c>
      <c r="FN68" s="286">
        <v>330394605</v>
      </c>
      <c r="FO68" s="286">
        <v>200805479.99999997</v>
      </c>
      <c r="FP68">
        <v>8</v>
      </c>
      <c r="FQ68" s="925">
        <v>1895.097258824158</v>
      </c>
      <c r="FR68" s="926">
        <v>16043883917.719023</v>
      </c>
      <c r="FS68">
        <v>1</v>
      </c>
      <c r="FU68" s="2"/>
    </row>
    <row r="69" spans="1:177" ht="16" customHeight="1">
      <c r="A69">
        <v>2018</v>
      </c>
      <c r="B69">
        <v>3740</v>
      </c>
      <c r="C69" t="s">
        <v>244</v>
      </c>
      <c r="D69" t="s">
        <v>245</v>
      </c>
      <c r="E69" s="203">
        <v>94</v>
      </c>
      <c r="F69" s="203" t="s">
        <v>250</v>
      </c>
      <c r="G69" s="203" t="s">
        <v>247</v>
      </c>
      <c r="H69" s="204" t="s">
        <v>249</v>
      </c>
      <c r="I69" s="202">
        <v>0</v>
      </c>
      <c r="J69" s="202">
        <v>0</v>
      </c>
      <c r="K69" s="202">
        <v>0</v>
      </c>
      <c r="L69" s="253"/>
      <c r="M69" s="254">
        <v>2019</v>
      </c>
      <c r="N69" s="254">
        <v>3680</v>
      </c>
      <c r="O69" s="255" t="s">
        <v>252</v>
      </c>
      <c r="P69" s="254">
        <v>410</v>
      </c>
      <c r="Q69" s="254">
        <v>233</v>
      </c>
      <c r="R69" s="255" t="s">
        <v>36</v>
      </c>
      <c r="S69" s="255" t="s">
        <v>152</v>
      </c>
      <c r="T69" s="350">
        <v>0</v>
      </c>
      <c r="U69" s="350">
        <v>0</v>
      </c>
      <c r="V69" s="350">
        <v>0</v>
      </c>
      <c r="W69" s="350">
        <v>0</v>
      </c>
      <c r="X69" s="350">
        <v>0</v>
      </c>
      <c r="AA69" s="272">
        <v>2019</v>
      </c>
      <c r="AB69" s="272">
        <v>1550</v>
      </c>
      <c r="AC69" s="273" t="s">
        <v>258</v>
      </c>
      <c r="AD69" s="272" t="s">
        <v>489</v>
      </c>
      <c r="AE69" s="272">
        <v>52</v>
      </c>
      <c r="AF69" s="274" t="s">
        <v>491</v>
      </c>
      <c r="AG69" s="272">
        <v>1453</v>
      </c>
      <c r="AH69" s="272">
        <v>0</v>
      </c>
      <c r="AI69" s="272">
        <v>1453</v>
      </c>
      <c r="AJ69" s="272">
        <v>0</v>
      </c>
      <c r="AK69" s="272">
        <v>72807</v>
      </c>
      <c r="AL69" s="352">
        <v>50.108052305574674</v>
      </c>
      <c r="AX69" s="254">
        <v>2019</v>
      </c>
      <c r="AY69" s="254">
        <v>3680</v>
      </c>
      <c r="AZ69" s="255" t="s">
        <v>252</v>
      </c>
      <c r="BA69" s="254">
        <v>410</v>
      </c>
      <c r="BB69" s="254">
        <v>315</v>
      </c>
      <c r="BC69" s="255" t="s">
        <v>555</v>
      </c>
      <c r="BD69" s="255" t="s">
        <v>141</v>
      </c>
      <c r="BE69" s="350">
        <v>0</v>
      </c>
      <c r="BF69" s="350">
        <v>0</v>
      </c>
      <c r="BG69" s="350">
        <v>558000</v>
      </c>
      <c r="BH69" s="350">
        <v>0</v>
      </c>
      <c r="BI69" s="350">
        <v>558000</v>
      </c>
      <c r="BK69" s="272">
        <v>2019</v>
      </c>
      <c r="BL69" s="272">
        <v>3050</v>
      </c>
      <c r="BM69" s="273" t="s">
        <v>254</v>
      </c>
      <c r="BN69" s="272" t="s">
        <v>588</v>
      </c>
      <c r="BO69" s="272">
        <v>59</v>
      </c>
      <c r="BP69" s="441" t="s">
        <v>589</v>
      </c>
      <c r="BQ69" s="272">
        <v>0</v>
      </c>
      <c r="BR69" s="272">
        <v>384</v>
      </c>
      <c r="BS69" s="272">
        <v>0</v>
      </c>
      <c r="BT69" s="272">
        <v>384</v>
      </c>
      <c r="BU69" s="272">
        <v>17452</v>
      </c>
      <c r="BV69" s="272">
        <v>0</v>
      </c>
      <c r="BZ69" s="459" t="s">
        <v>646</v>
      </c>
      <c r="CA69" s="459" t="s">
        <v>654</v>
      </c>
      <c r="CB69" s="454" t="s">
        <v>677</v>
      </c>
      <c r="CM69" s="299">
        <v>2019</v>
      </c>
      <c r="CN69" s="299">
        <v>1370</v>
      </c>
      <c r="CO69" s="300" t="s">
        <v>255</v>
      </c>
      <c r="CP69" s="299">
        <v>755</v>
      </c>
      <c r="CQ69" s="299">
        <v>36</v>
      </c>
      <c r="CR69" s="294" t="s">
        <v>385</v>
      </c>
      <c r="CS69" s="294" t="s">
        <v>404</v>
      </c>
      <c r="CT69" s="294" t="s">
        <v>392</v>
      </c>
      <c r="CU69" s="301">
        <v>26189000</v>
      </c>
      <c r="DB69">
        <f t="shared" si="72"/>
        <v>14</v>
      </c>
      <c r="DC69" s="595" t="s">
        <v>919</v>
      </c>
      <c r="DD69" s="595" t="s">
        <v>920</v>
      </c>
      <c r="DE69" s="595" t="s">
        <v>690</v>
      </c>
      <c r="DF69" s="286">
        <v>480765</v>
      </c>
      <c r="DG69" s="286">
        <v>53376809</v>
      </c>
      <c r="DH69" s="286">
        <v>1931968090</v>
      </c>
      <c r="DI69" s="286">
        <v>892274308</v>
      </c>
      <c r="DJ69">
        <v>11</v>
      </c>
      <c r="DK69" s="643">
        <f t="shared" si="74"/>
        <v>18.422893971718388</v>
      </c>
      <c r="DL69" s="408">
        <f t="shared" si="75"/>
        <v>983355292.75566375</v>
      </c>
      <c r="DM69" s="286"/>
      <c r="DN69" s="286"/>
      <c r="EC69" s="289" t="s">
        <v>688</v>
      </c>
      <c r="ED69" s="296">
        <v>293496</v>
      </c>
      <c r="EE69" s="478">
        <v>1</v>
      </c>
      <c r="EF69" s="296">
        <v>293496</v>
      </c>
      <c r="EG69" s="477">
        <v>1.987832589432553</v>
      </c>
      <c r="EH69" s="594">
        <v>289924.91366809659</v>
      </c>
      <c r="EI69" s="286">
        <v>583420.91366809653</v>
      </c>
      <c r="EJ69" s="472">
        <f t="shared" ref="EJ69:EJ74" si="86">EF69/EI69</f>
        <v>0.50306047164940593</v>
      </c>
      <c r="EK69" s="472">
        <f>1-EJ69</f>
        <v>0.49693952835059407</v>
      </c>
      <c r="EL69" s="596">
        <f>EI69/$EI$75</f>
        <v>4.3649697676155404E-2</v>
      </c>
      <c r="EM69" s="453">
        <v>28.583333333333332</v>
      </c>
      <c r="EN69" s="453">
        <v>111.5</v>
      </c>
      <c r="EO69" s="453">
        <v>57.666666666666664</v>
      </c>
      <c r="EP69" s="453">
        <v>18.8</v>
      </c>
      <c r="EQ69" s="453">
        <v>67.5</v>
      </c>
      <c r="ER69" s="453">
        <v>34.1</v>
      </c>
      <c r="ES69" s="453">
        <v>35</v>
      </c>
      <c r="ET69" s="453">
        <v>251.65</v>
      </c>
      <c r="EU69" s="453">
        <v>106.5</v>
      </c>
      <c r="EV69" s="453">
        <v>95.560433532313894</v>
      </c>
      <c r="FH69">
        <v>14</v>
      </c>
      <c r="FI69" t="s">
        <v>919</v>
      </c>
      <c r="FJ69" t="s">
        <v>920</v>
      </c>
      <c r="FK69" t="s">
        <v>690</v>
      </c>
      <c r="FL69" s="286">
        <v>480765</v>
      </c>
      <c r="FM69" s="286">
        <v>53376809</v>
      </c>
      <c r="FN69" s="286">
        <v>1931968090</v>
      </c>
      <c r="FO69" s="286">
        <v>892274308</v>
      </c>
      <c r="FP69">
        <v>11</v>
      </c>
      <c r="FQ69" s="925">
        <v>18.422893971718388</v>
      </c>
      <c r="FR69" s="926">
        <v>983355292.75566375</v>
      </c>
      <c r="FS69">
        <v>1</v>
      </c>
      <c r="FU69" s="2"/>
    </row>
    <row r="70" spans="1:177" ht="16" customHeight="1">
      <c r="A70">
        <v>2018</v>
      </c>
      <c r="B70">
        <v>3740</v>
      </c>
      <c r="C70" t="s">
        <v>244</v>
      </c>
      <c r="D70" t="s">
        <v>245</v>
      </c>
      <c r="E70" s="203">
        <v>97</v>
      </c>
      <c r="F70" s="203" t="s">
        <v>251</v>
      </c>
      <c r="G70" s="203" t="s">
        <v>247</v>
      </c>
      <c r="H70" s="203" t="s">
        <v>248</v>
      </c>
      <c r="I70" s="202">
        <v>6400</v>
      </c>
      <c r="J70" s="202">
        <v>29621</v>
      </c>
      <c r="K70" s="202">
        <v>69520000</v>
      </c>
      <c r="L70" s="253"/>
      <c r="M70" s="254">
        <v>2019</v>
      </c>
      <c r="N70" s="254">
        <v>3680</v>
      </c>
      <c r="O70" s="255" t="s">
        <v>252</v>
      </c>
      <c r="P70" s="254">
        <v>410</v>
      </c>
      <c r="Q70" s="254">
        <v>234</v>
      </c>
      <c r="R70" s="255" t="s">
        <v>36</v>
      </c>
      <c r="S70" s="255" t="s">
        <v>153</v>
      </c>
      <c r="T70" s="350">
        <v>0</v>
      </c>
      <c r="U70" s="350">
        <v>0</v>
      </c>
      <c r="V70" s="350">
        <v>0</v>
      </c>
      <c r="W70" s="350">
        <v>0</v>
      </c>
      <c r="X70" s="350">
        <v>0</v>
      </c>
      <c r="AA70" s="272">
        <v>2019</v>
      </c>
      <c r="AB70" s="272">
        <v>1550</v>
      </c>
      <c r="AC70" s="273" t="s">
        <v>258</v>
      </c>
      <c r="AD70" s="272" t="s">
        <v>489</v>
      </c>
      <c r="AE70" s="272">
        <v>53</v>
      </c>
      <c r="AF70" s="274" t="s">
        <v>492</v>
      </c>
      <c r="AG70" s="272">
        <v>61347</v>
      </c>
      <c r="AH70" s="272">
        <v>4</v>
      </c>
      <c r="AI70" s="272">
        <v>50314</v>
      </c>
      <c r="AJ70" s="272">
        <v>4</v>
      </c>
      <c r="AK70" s="272">
        <v>4916218</v>
      </c>
      <c r="AL70" s="352">
        <v>97.710736574313316</v>
      </c>
      <c r="AX70" s="254">
        <v>2019</v>
      </c>
      <c r="AY70" s="254">
        <v>3680</v>
      </c>
      <c r="AZ70" s="255" t="s">
        <v>252</v>
      </c>
      <c r="BA70" s="254">
        <v>410</v>
      </c>
      <c r="BB70" s="254">
        <v>316</v>
      </c>
      <c r="BC70" s="255" t="s">
        <v>555</v>
      </c>
      <c r="BD70" s="255" t="s">
        <v>142</v>
      </c>
      <c r="BE70" s="350">
        <v>0</v>
      </c>
      <c r="BF70" s="350">
        <v>0</v>
      </c>
      <c r="BG70" s="350">
        <v>-4150000</v>
      </c>
      <c r="BH70" s="350">
        <v>0</v>
      </c>
      <c r="BI70" s="350">
        <v>-4150000</v>
      </c>
      <c r="BK70" s="272">
        <v>2019</v>
      </c>
      <c r="BL70" s="272">
        <v>3050</v>
      </c>
      <c r="BM70" s="273" t="s">
        <v>254</v>
      </c>
      <c r="BN70" s="272" t="s">
        <v>588</v>
      </c>
      <c r="BO70" s="272">
        <v>60</v>
      </c>
      <c r="BP70" s="441" t="s">
        <v>590</v>
      </c>
      <c r="BQ70" s="272">
        <v>0</v>
      </c>
      <c r="BR70" s="272">
        <v>0</v>
      </c>
      <c r="BS70" s="272">
        <v>0</v>
      </c>
      <c r="BT70" s="272">
        <v>0</v>
      </c>
      <c r="BU70" s="272">
        <v>0</v>
      </c>
      <c r="BV70" s="272">
        <v>0</v>
      </c>
      <c r="BY70" s="462" t="s">
        <v>649</v>
      </c>
      <c r="BZ70" s="460" t="s">
        <v>647</v>
      </c>
      <c r="CA70" s="460" t="s">
        <v>653</v>
      </c>
      <c r="CB70" s="461" t="s">
        <v>678</v>
      </c>
      <c r="CM70" s="299">
        <v>2019</v>
      </c>
      <c r="CN70" s="299">
        <v>1370</v>
      </c>
      <c r="CO70" s="300" t="s">
        <v>255</v>
      </c>
      <c r="CP70" s="299">
        <v>755</v>
      </c>
      <c r="CQ70" s="299">
        <v>37</v>
      </c>
      <c r="CR70" s="294" t="s">
        <v>385</v>
      </c>
      <c r="CS70" s="294" t="s">
        <v>404</v>
      </c>
      <c r="CT70" s="294" t="s">
        <v>393</v>
      </c>
      <c r="CU70" s="301">
        <v>5307000</v>
      </c>
      <c r="DB70">
        <f t="shared" si="72"/>
        <v>14</v>
      </c>
      <c r="DC70" s="595" t="s">
        <v>921</v>
      </c>
      <c r="DD70" s="595" t="s">
        <v>922</v>
      </c>
      <c r="DE70" s="595" t="s">
        <v>690</v>
      </c>
      <c r="DF70" s="286">
        <v>9480</v>
      </c>
      <c r="DG70" s="286">
        <v>962599.99999999988</v>
      </c>
      <c r="DH70" s="286">
        <v>50216740.000000007</v>
      </c>
      <c r="DI70" s="286">
        <v>24533029</v>
      </c>
      <c r="DJ70">
        <v>11</v>
      </c>
      <c r="DK70" s="643">
        <f t="shared" si="74"/>
        <v>18.422893971718388</v>
      </c>
      <c r="DL70" s="408">
        <f t="shared" si="75"/>
        <v>17733877.737176117</v>
      </c>
      <c r="DM70" s="286"/>
      <c r="DN70" s="286"/>
      <c r="EC70" s="289" t="s">
        <v>691</v>
      </c>
      <c r="ED70" s="296">
        <v>758141</v>
      </c>
      <c r="EE70" s="478">
        <v>1</v>
      </c>
      <c r="EF70" s="296">
        <v>758141</v>
      </c>
      <c r="EG70" s="477">
        <v>2.0178512661050467</v>
      </c>
      <c r="EH70" s="594">
        <v>771674.77673614619</v>
      </c>
      <c r="EI70" s="286">
        <v>1529815.7767361463</v>
      </c>
      <c r="EJ70" s="472">
        <f t="shared" si="86"/>
        <v>0.49557666454289662</v>
      </c>
      <c r="EK70" s="472">
        <f>1-EJ70</f>
        <v>0.50442333545710338</v>
      </c>
      <c r="EL70" s="596">
        <f t="shared" ref="EL70:EL74" si="87">EI70/$EI$75</f>
        <v>0.1144559521099615</v>
      </c>
      <c r="EM70" s="453">
        <v>32.333333333333336</v>
      </c>
      <c r="EN70" s="453">
        <v>75.583333333333329</v>
      </c>
      <c r="EO70" s="453">
        <v>51</v>
      </c>
      <c r="EP70" s="453">
        <v>17</v>
      </c>
      <c r="EQ70" s="453">
        <v>45.9</v>
      </c>
      <c r="ER70" s="453">
        <v>28.4</v>
      </c>
      <c r="ES70" s="453">
        <v>70</v>
      </c>
      <c r="ET70" s="453">
        <v>122.5</v>
      </c>
      <c r="EU70" s="453">
        <v>112.45</v>
      </c>
      <c r="EV70" s="453">
        <v>101.80793282516049</v>
      </c>
      <c r="EW70" s="453"/>
      <c r="FH70">
        <v>28</v>
      </c>
      <c r="FI70" t="s">
        <v>971</v>
      </c>
      <c r="FJ70" t="s">
        <v>972</v>
      </c>
      <c r="FK70" t="s">
        <v>690</v>
      </c>
      <c r="FL70" s="286">
        <v>158371</v>
      </c>
      <c r="FM70" s="286">
        <v>17053597</v>
      </c>
      <c r="FN70" s="286">
        <v>838004668</v>
      </c>
      <c r="FO70" s="286">
        <v>381404717</v>
      </c>
      <c r="FP70">
        <v>20</v>
      </c>
      <c r="FQ70" s="925">
        <v>878.59703070032845</v>
      </c>
      <c r="FR70" s="926">
        <v>14983239686.96003</v>
      </c>
      <c r="FS70">
        <v>1</v>
      </c>
      <c r="FU70" s="2"/>
    </row>
    <row r="71" spans="1:177" ht="16" customHeight="1">
      <c r="A71">
        <v>2018</v>
      </c>
      <c r="B71">
        <v>3740</v>
      </c>
      <c r="C71" t="s">
        <v>244</v>
      </c>
      <c r="D71" t="s">
        <v>245</v>
      </c>
      <c r="E71" s="203">
        <v>98</v>
      </c>
      <c r="F71" s="203" t="s">
        <v>251</v>
      </c>
      <c r="G71" s="203" t="s">
        <v>247</v>
      </c>
      <c r="H71" s="204" t="s">
        <v>249</v>
      </c>
      <c r="I71" s="202">
        <v>0</v>
      </c>
      <c r="J71" s="202">
        <v>0</v>
      </c>
      <c r="K71" s="202">
        <v>0</v>
      </c>
      <c r="L71" s="253"/>
      <c r="M71" s="254">
        <v>2019</v>
      </c>
      <c r="N71" s="254">
        <v>3680</v>
      </c>
      <c r="O71" s="255" t="s">
        <v>252</v>
      </c>
      <c r="P71" s="254">
        <v>410</v>
      </c>
      <c r="Q71" s="254">
        <v>235</v>
      </c>
      <c r="R71" s="255" t="s">
        <v>36</v>
      </c>
      <c r="S71" s="255" t="s">
        <v>202</v>
      </c>
      <c r="T71" s="350">
        <v>0</v>
      </c>
      <c r="U71" s="350">
        <v>0</v>
      </c>
      <c r="V71" s="350">
        <v>-26476000</v>
      </c>
      <c r="W71" s="350">
        <v>0</v>
      </c>
      <c r="X71" s="350">
        <v>-26476000</v>
      </c>
      <c r="AA71" s="272">
        <v>2019</v>
      </c>
      <c r="AB71" s="272">
        <v>1550</v>
      </c>
      <c r="AC71" s="273" t="s">
        <v>258</v>
      </c>
      <c r="AD71" s="272" t="s">
        <v>489</v>
      </c>
      <c r="AE71" s="272">
        <v>54</v>
      </c>
      <c r="AF71" s="274" t="s">
        <v>493</v>
      </c>
      <c r="AG71" s="272">
        <v>0</v>
      </c>
      <c r="AH71" s="272">
        <v>144</v>
      </c>
      <c r="AI71" s="272">
        <v>0</v>
      </c>
      <c r="AJ71" s="272">
        <v>139</v>
      </c>
      <c r="AK71" s="272">
        <v>0</v>
      </c>
      <c r="AL71" s="352">
        <v>0</v>
      </c>
      <c r="AX71" s="254">
        <v>2019</v>
      </c>
      <c r="AY71" s="254">
        <v>3680</v>
      </c>
      <c r="AZ71" s="255" t="s">
        <v>252</v>
      </c>
      <c r="BA71" s="254">
        <v>410</v>
      </c>
      <c r="BB71" s="254">
        <v>317</v>
      </c>
      <c r="BC71" s="255" t="s">
        <v>555</v>
      </c>
      <c r="BD71" s="255" t="s">
        <v>145</v>
      </c>
      <c r="BE71" s="350">
        <v>0</v>
      </c>
      <c r="BF71" s="350">
        <v>0</v>
      </c>
      <c r="BG71" s="350">
        <v>0</v>
      </c>
      <c r="BH71" s="350">
        <v>9399000</v>
      </c>
      <c r="BI71" s="350">
        <v>9399000</v>
      </c>
      <c r="BK71" s="272">
        <v>2019</v>
      </c>
      <c r="BL71" s="272">
        <v>3050</v>
      </c>
      <c r="BM71" s="273" t="s">
        <v>254</v>
      </c>
      <c r="BN71" s="272" t="s">
        <v>588</v>
      </c>
      <c r="BO71" s="272">
        <v>61</v>
      </c>
      <c r="BP71" s="441" t="s">
        <v>591</v>
      </c>
      <c r="BQ71" s="272">
        <v>0</v>
      </c>
      <c r="BR71" s="272">
        <v>0</v>
      </c>
      <c r="BS71" s="272">
        <v>0</v>
      </c>
      <c r="BT71" s="272">
        <v>0</v>
      </c>
      <c r="BU71" s="272">
        <v>0</v>
      </c>
      <c r="BV71" s="272">
        <v>0</v>
      </c>
      <c r="BY71" t="s">
        <v>254</v>
      </c>
      <c r="BZ71" s="296">
        <f>4793671-72416</f>
        <v>4721255</v>
      </c>
      <c r="CA71" s="468">
        <v>5.46</v>
      </c>
      <c r="CB71" s="286">
        <f>BZ71/CA71</f>
        <v>864698.717948718</v>
      </c>
      <c r="CM71" s="299">
        <v>2019</v>
      </c>
      <c r="CN71" s="299">
        <v>1370</v>
      </c>
      <c r="CO71" s="300" t="s">
        <v>255</v>
      </c>
      <c r="CP71" s="299">
        <v>755</v>
      </c>
      <c r="CQ71" s="299">
        <v>38</v>
      </c>
      <c r="CR71" s="294" t="s">
        <v>385</v>
      </c>
      <c r="CS71" s="294" t="s">
        <v>404</v>
      </c>
      <c r="CT71" s="294" t="s">
        <v>394</v>
      </c>
      <c r="CU71" s="301">
        <v>27471000</v>
      </c>
      <c r="DB71">
        <f t="shared" si="72"/>
        <v>14</v>
      </c>
      <c r="DC71" s="595" t="s">
        <v>923</v>
      </c>
      <c r="DD71" s="595" t="s">
        <v>924</v>
      </c>
      <c r="DE71" s="595" t="s">
        <v>690</v>
      </c>
      <c r="DF71" s="286">
        <v>48785</v>
      </c>
      <c r="DG71" s="286">
        <v>5073568</v>
      </c>
      <c r="DH71" s="286">
        <v>84690705</v>
      </c>
      <c r="DI71" s="286">
        <v>49912520.000000007</v>
      </c>
      <c r="DJ71">
        <v>13</v>
      </c>
      <c r="DK71" s="643">
        <f t="shared" si="74"/>
        <v>106.2931379319991</v>
      </c>
      <c r="DL71" s="408">
        <f t="shared" si="75"/>
        <v>539285463.23137677</v>
      </c>
      <c r="DM71" s="286"/>
      <c r="DN71" s="286"/>
      <c r="EC71" s="289" t="s">
        <v>689</v>
      </c>
      <c r="ED71" s="296">
        <v>503778</v>
      </c>
      <c r="EE71" s="478">
        <v>1</v>
      </c>
      <c r="EF71" s="296">
        <v>503778</v>
      </c>
      <c r="EG71" s="477">
        <v>1.9764118884082422</v>
      </c>
      <c r="EH71" s="594">
        <v>491894.82831852743</v>
      </c>
      <c r="EI71" s="286">
        <v>995672.82831852743</v>
      </c>
      <c r="EJ71" s="472">
        <f t="shared" si="86"/>
        <v>0.50596740783894878</v>
      </c>
      <c r="EK71" s="472">
        <f t="shared" ref="EK71:EK74" si="88">1-EJ71</f>
        <v>0.49403259216105122</v>
      </c>
      <c r="EL71" s="596">
        <f t="shared" si="87"/>
        <v>7.4493075106304499E-2</v>
      </c>
      <c r="EM71" s="453">
        <v>28.833333333333332</v>
      </c>
      <c r="EN71" s="453">
        <v>87.833333333333329</v>
      </c>
      <c r="EO71" s="453">
        <v>57.166666666666664</v>
      </c>
      <c r="EP71" s="453">
        <v>20.2</v>
      </c>
      <c r="EQ71" s="453">
        <v>72.5</v>
      </c>
      <c r="ER71" s="453">
        <v>33.15</v>
      </c>
      <c r="ES71" s="453">
        <v>38</v>
      </c>
      <c r="ET71" s="453">
        <v>122.8</v>
      </c>
      <c r="EU71" s="453">
        <v>105.05</v>
      </c>
      <c r="EV71" s="453">
        <v>92.097558845364432</v>
      </c>
      <c r="EW71" s="453"/>
      <c r="FH71">
        <v>28</v>
      </c>
      <c r="FI71" t="s">
        <v>973</v>
      </c>
      <c r="FJ71" t="s">
        <v>974</v>
      </c>
      <c r="FK71" t="s">
        <v>690</v>
      </c>
      <c r="FL71" s="286">
        <v>164013</v>
      </c>
      <c r="FM71" s="286">
        <v>17204503</v>
      </c>
      <c r="FN71" s="286">
        <v>413834972</v>
      </c>
      <c r="FO71" s="286">
        <v>227448088</v>
      </c>
      <c r="FP71">
        <v>22</v>
      </c>
      <c r="FQ71" s="925">
        <v>878.59703070032845</v>
      </c>
      <c r="FR71" s="926">
        <v>15115825250.474894</v>
      </c>
      <c r="FS71">
        <v>1</v>
      </c>
      <c r="FU71" s="2"/>
    </row>
    <row r="72" spans="1:177" ht="16" customHeight="1">
      <c r="A72">
        <v>2018</v>
      </c>
      <c r="B72">
        <v>3680</v>
      </c>
      <c r="C72" t="s">
        <v>252</v>
      </c>
      <c r="D72" t="s">
        <v>245</v>
      </c>
      <c r="E72" s="203">
        <v>91</v>
      </c>
      <c r="F72" s="203" t="s">
        <v>246</v>
      </c>
      <c r="G72" s="203" t="s">
        <v>247</v>
      </c>
      <c r="H72" s="203" t="s">
        <v>248</v>
      </c>
      <c r="I72" s="202">
        <v>0</v>
      </c>
      <c r="J72" s="202">
        <v>0</v>
      </c>
      <c r="K72" s="202">
        <v>0</v>
      </c>
      <c r="L72" s="253"/>
      <c r="M72" s="254">
        <v>2019</v>
      </c>
      <c r="N72" s="254">
        <v>3680</v>
      </c>
      <c r="O72" s="255" t="s">
        <v>252</v>
      </c>
      <c r="P72" s="254">
        <v>410</v>
      </c>
      <c r="Q72" s="254">
        <v>236</v>
      </c>
      <c r="R72" s="255" t="s">
        <v>36</v>
      </c>
      <c r="S72" s="255" t="s">
        <v>156</v>
      </c>
      <c r="T72" s="350">
        <v>0</v>
      </c>
      <c r="U72" s="350">
        <v>0</v>
      </c>
      <c r="V72" s="350">
        <v>0</v>
      </c>
      <c r="W72" s="350">
        <v>0</v>
      </c>
      <c r="X72" s="350">
        <v>0</v>
      </c>
      <c r="AA72" s="272">
        <v>2019</v>
      </c>
      <c r="AB72" s="272">
        <v>1550</v>
      </c>
      <c r="AC72" s="273" t="s">
        <v>258</v>
      </c>
      <c r="AD72" s="272" t="s">
        <v>489</v>
      </c>
      <c r="AE72" s="272">
        <v>55</v>
      </c>
      <c r="AF72" s="274" t="s">
        <v>494</v>
      </c>
      <c r="AG72" s="272">
        <v>61347</v>
      </c>
      <c r="AH72" s="272">
        <v>148</v>
      </c>
      <c r="AI72" s="272">
        <v>50314</v>
      </c>
      <c r="AJ72" s="272">
        <v>143</v>
      </c>
      <c r="AK72" s="272">
        <v>4916218</v>
      </c>
      <c r="AL72" s="352">
        <v>97.710736574313316</v>
      </c>
      <c r="AX72" s="254">
        <v>2019</v>
      </c>
      <c r="AY72" s="254">
        <v>3680</v>
      </c>
      <c r="AZ72" s="255" t="s">
        <v>252</v>
      </c>
      <c r="BA72" s="254">
        <v>410</v>
      </c>
      <c r="BB72" s="254">
        <v>318</v>
      </c>
      <c r="BC72" s="255" t="s">
        <v>555</v>
      </c>
      <c r="BD72" s="255" t="s">
        <v>152</v>
      </c>
      <c r="BE72" s="350">
        <v>0</v>
      </c>
      <c r="BF72" s="350">
        <v>0</v>
      </c>
      <c r="BG72" s="350">
        <v>0</v>
      </c>
      <c r="BH72" s="350">
        <v>0</v>
      </c>
      <c r="BI72" s="350">
        <v>0</v>
      </c>
      <c r="BK72" s="272">
        <v>2019</v>
      </c>
      <c r="BL72" s="272">
        <v>3050</v>
      </c>
      <c r="BM72" s="273" t="s">
        <v>254</v>
      </c>
      <c r="BN72" s="272" t="s">
        <v>588</v>
      </c>
      <c r="BO72" s="272">
        <v>62</v>
      </c>
      <c r="BP72" s="441" t="s">
        <v>592</v>
      </c>
      <c r="BQ72" s="272">
        <v>0</v>
      </c>
      <c r="BR72" s="272">
        <v>0</v>
      </c>
      <c r="BS72" s="272">
        <v>0</v>
      </c>
      <c r="BT72" s="272">
        <v>0</v>
      </c>
      <c r="BU72" s="272">
        <v>0</v>
      </c>
      <c r="BV72" s="272">
        <v>0</v>
      </c>
      <c r="BY72" t="s">
        <v>257</v>
      </c>
      <c r="BZ72" s="296">
        <f>2199546-33695</f>
        <v>2165851</v>
      </c>
      <c r="CA72" s="468">
        <v>4.53</v>
      </c>
      <c r="CB72" s="286">
        <f t="shared" ref="CB72:CB77" si="89">BZ72/CA72</f>
        <v>478112.80353200878</v>
      </c>
      <c r="CM72" s="299">
        <v>2019</v>
      </c>
      <c r="CN72" s="299">
        <v>1370</v>
      </c>
      <c r="CO72" s="300" t="s">
        <v>255</v>
      </c>
      <c r="CP72" s="299">
        <v>755</v>
      </c>
      <c r="CQ72" s="299">
        <v>39</v>
      </c>
      <c r="CR72" s="294" t="s">
        <v>385</v>
      </c>
      <c r="CS72" s="294" t="s">
        <v>404</v>
      </c>
      <c r="CT72" s="294" t="s">
        <v>395</v>
      </c>
      <c r="CU72" s="301">
        <v>62000</v>
      </c>
      <c r="DB72">
        <f t="shared" si="72"/>
        <v>14</v>
      </c>
      <c r="DC72" s="595" t="s">
        <v>1091</v>
      </c>
      <c r="DD72" s="595" t="s">
        <v>1092</v>
      </c>
      <c r="DE72" s="595" t="s">
        <v>695</v>
      </c>
      <c r="DF72" s="286">
        <v>55700</v>
      </c>
      <c r="DG72" s="286">
        <v>5580000</v>
      </c>
      <c r="DH72" s="286">
        <v>177940169.99999997</v>
      </c>
      <c r="DI72" s="286">
        <v>116819413</v>
      </c>
      <c r="DJ72">
        <v>13</v>
      </c>
      <c r="DK72" s="643">
        <f t="shared" si="74"/>
        <v>106.2931379319991</v>
      </c>
      <c r="DL72" s="408">
        <f t="shared" si="75"/>
        <v>593115709.66055501</v>
      </c>
      <c r="DM72" s="286"/>
      <c r="DN72" s="286"/>
      <c r="EC72" s="289" t="s">
        <v>696</v>
      </c>
      <c r="ED72" s="296">
        <v>9526</v>
      </c>
      <c r="EE72" s="478">
        <v>1</v>
      </c>
      <c r="EF72" s="296">
        <v>9526</v>
      </c>
      <c r="EG72" s="477">
        <v>1.3469322412893829</v>
      </c>
      <c r="EH72" s="594">
        <v>3304.8765305226621</v>
      </c>
      <c r="EI72" s="286">
        <v>12830.876530522663</v>
      </c>
      <c r="EJ72" s="472">
        <f t="shared" si="86"/>
        <v>0.74242784406342976</v>
      </c>
      <c r="EK72" s="472">
        <f t="shared" si="88"/>
        <v>0.25757215593657024</v>
      </c>
      <c r="EL72" s="596">
        <f t="shared" si="87"/>
        <v>9.5996538409318631E-4</v>
      </c>
      <c r="EM72" s="453">
        <v>13</v>
      </c>
      <c r="EN72" s="453">
        <v>872</v>
      </c>
      <c r="EO72" s="453">
        <v>57.083333333333336</v>
      </c>
      <c r="EP72" s="453">
        <v>0</v>
      </c>
      <c r="EQ72" s="453">
        <v>338.75</v>
      </c>
      <c r="ER72" s="453">
        <v>33.75</v>
      </c>
      <c r="ES72" s="453">
        <v>0</v>
      </c>
      <c r="ET72" s="453">
        <v>482</v>
      </c>
      <c r="EU72" s="453">
        <v>85.3</v>
      </c>
      <c r="EV72" s="453">
        <v>77.116628175519637</v>
      </c>
      <c r="FH72">
        <v>14</v>
      </c>
      <c r="FI72" t="s">
        <v>1016</v>
      </c>
      <c r="FJ72" t="s">
        <v>1017</v>
      </c>
      <c r="FK72" t="s">
        <v>689</v>
      </c>
      <c r="FL72" s="286">
        <v>37386</v>
      </c>
      <c r="FM72" s="286">
        <v>3728481</v>
      </c>
      <c r="FN72" s="286">
        <v>45058759</v>
      </c>
      <c r="FO72" s="286">
        <v>25012604</v>
      </c>
      <c r="FP72">
        <v>12</v>
      </c>
      <c r="FQ72" s="925">
        <v>12.148631154247422</v>
      </c>
      <c r="FR72" s="926">
        <v>45295940.434619583</v>
      </c>
      <c r="FS72">
        <v>1</v>
      </c>
      <c r="FU72" s="2"/>
    </row>
    <row r="73" spans="1:177" ht="16" customHeight="1">
      <c r="A73">
        <v>2018</v>
      </c>
      <c r="B73">
        <v>3680</v>
      </c>
      <c r="C73" t="s">
        <v>252</v>
      </c>
      <c r="D73" t="s">
        <v>245</v>
      </c>
      <c r="E73" s="203">
        <v>92</v>
      </c>
      <c r="F73" s="203" t="s">
        <v>246</v>
      </c>
      <c r="G73" s="203" t="s">
        <v>247</v>
      </c>
      <c r="H73" s="204" t="s">
        <v>249</v>
      </c>
      <c r="I73" s="202">
        <v>0</v>
      </c>
      <c r="J73" s="202">
        <v>0</v>
      </c>
      <c r="K73" s="202">
        <v>0</v>
      </c>
      <c r="L73" s="253"/>
      <c r="M73" s="254">
        <v>2019</v>
      </c>
      <c r="N73" s="254">
        <v>3680</v>
      </c>
      <c r="O73" s="255" t="s">
        <v>252</v>
      </c>
      <c r="P73" s="254">
        <v>410</v>
      </c>
      <c r="Q73" s="254">
        <v>237</v>
      </c>
      <c r="R73" s="255" t="s">
        <v>36</v>
      </c>
      <c r="S73" s="255" t="s">
        <v>158</v>
      </c>
      <c r="T73" s="350">
        <v>0</v>
      </c>
      <c r="U73" s="350">
        <v>0</v>
      </c>
      <c r="V73" s="350">
        <v>0</v>
      </c>
      <c r="W73" s="350">
        <v>0</v>
      </c>
      <c r="X73" s="350">
        <v>0</v>
      </c>
      <c r="AA73" s="272">
        <v>2019</v>
      </c>
      <c r="AB73" s="272">
        <v>2670</v>
      </c>
      <c r="AC73" s="273" t="s">
        <v>257</v>
      </c>
      <c r="AD73" s="272" t="s">
        <v>489</v>
      </c>
      <c r="AE73" s="272">
        <v>36</v>
      </c>
      <c r="AF73" s="274" t="s">
        <v>387</v>
      </c>
      <c r="AG73" s="272">
        <v>0</v>
      </c>
      <c r="AH73" s="272">
        <v>0</v>
      </c>
      <c r="AI73" s="272">
        <v>0</v>
      </c>
      <c r="AJ73" s="272">
        <v>0</v>
      </c>
      <c r="AK73" s="272">
        <v>0</v>
      </c>
      <c r="AL73" s="352">
        <v>0</v>
      </c>
      <c r="AX73" s="254">
        <v>2019</v>
      </c>
      <c r="AY73" s="254">
        <v>3680</v>
      </c>
      <c r="AZ73" s="255" t="s">
        <v>252</v>
      </c>
      <c r="BA73" s="254">
        <v>410</v>
      </c>
      <c r="BB73" s="254">
        <v>319</v>
      </c>
      <c r="BC73" s="255" t="s">
        <v>555</v>
      </c>
      <c r="BD73" s="255" t="s">
        <v>153</v>
      </c>
      <c r="BE73" s="350">
        <v>0</v>
      </c>
      <c r="BF73" s="350">
        <v>0</v>
      </c>
      <c r="BG73" s="350">
        <v>0</v>
      </c>
      <c r="BH73" s="350">
        <v>0</v>
      </c>
      <c r="BI73" s="350">
        <v>0</v>
      </c>
      <c r="BK73" s="272">
        <v>2019</v>
      </c>
      <c r="BL73" s="272">
        <v>3050</v>
      </c>
      <c r="BM73" s="273" t="s">
        <v>254</v>
      </c>
      <c r="BN73" s="272" t="s">
        <v>588</v>
      </c>
      <c r="BO73" s="272">
        <v>63</v>
      </c>
      <c r="BP73" s="441" t="s">
        <v>593</v>
      </c>
      <c r="BQ73" s="272">
        <v>0</v>
      </c>
      <c r="BR73" s="272">
        <v>0</v>
      </c>
      <c r="BS73" s="272">
        <v>0</v>
      </c>
      <c r="BT73" s="272">
        <v>0</v>
      </c>
      <c r="BU73" s="272">
        <v>0</v>
      </c>
      <c r="BV73" s="272">
        <v>0</v>
      </c>
      <c r="BY73" t="s">
        <v>255</v>
      </c>
      <c r="BZ73" s="296">
        <f>2540928-41311</f>
        <v>2499617</v>
      </c>
      <c r="CA73" s="468">
        <v>5.59</v>
      </c>
      <c r="CB73" s="286">
        <f t="shared" si="89"/>
        <v>447158.67620751343</v>
      </c>
      <c r="CM73" s="299">
        <v>2019</v>
      </c>
      <c r="CN73" s="299">
        <v>1370</v>
      </c>
      <c r="CO73" s="300" t="s">
        <v>255</v>
      </c>
      <c r="CP73" s="299">
        <v>755</v>
      </c>
      <c r="CQ73" s="299">
        <v>40</v>
      </c>
      <c r="CR73" s="294" t="s">
        <v>385</v>
      </c>
      <c r="CS73" s="294" t="s">
        <v>404</v>
      </c>
      <c r="CT73" s="294" t="s">
        <v>396</v>
      </c>
      <c r="CU73" s="301">
        <v>31000</v>
      </c>
      <c r="DB73">
        <f t="shared" si="72"/>
        <v>14</v>
      </c>
      <c r="DC73" s="595" t="s">
        <v>925</v>
      </c>
      <c r="DD73" s="595" t="s">
        <v>926</v>
      </c>
      <c r="DE73" s="595" t="s">
        <v>690</v>
      </c>
      <c r="DF73" s="286">
        <v>1640</v>
      </c>
      <c r="DG73" s="286">
        <v>92760</v>
      </c>
      <c r="DH73" s="286">
        <v>11703360</v>
      </c>
      <c r="DI73" s="286">
        <v>5076743</v>
      </c>
      <c r="DJ73">
        <v>13</v>
      </c>
      <c r="DK73" s="643">
        <f t="shared" si="74"/>
        <v>106.2931379319991</v>
      </c>
      <c r="DL73" s="408">
        <f t="shared" si="75"/>
        <v>9859751.4745722357</v>
      </c>
      <c r="DM73" s="286"/>
      <c r="DN73" s="286"/>
      <c r="EC73" s="289" t="s">
        <v>697</v>
      </c>
      <c r="ED73" s="296">
        <v>2893814</v>
      </c>
      <c r="EE73" s="478">
        <v>1</v>
      </c>
      <c r="EF73" s="296">
        <v>2893814</v>
      </c>
      <c r="EG73" s="477">
        <v>2.0160338160588367</v>
      </c>
      <c r="EH73" s="594">
        <v>2940212.8813844863</v>
      </c>
      <c r="EI73" s="286">
        <v>5834026.8813844863</v>
      </c>
      <c r="EJ73" s="472">
        <f t="shared" si="86"/>
        <v>0.49602342581480569</v>
      </c>
      <c r="EK73" s="472">
        <f t="shared" si="88"/>
        <v>0.50397657418519426</v>
      </c>
      <c r="EL73" s="596">
        <f t="shared" si="87"/>
        <v>0.43648334099978275</v>
      </c>
      <c r="EM73" s="453">
        <v>28.583333333333332</v>
      </c>
      <c r="EN73" s="453">
        <v>111.5</v>
      </c>
      <c r="EO73" s="453">
        <v>53.083333333333336</v>
      </c>
      <c r="EP73" s="453">
        <v>17</v>
      </c>
      <c r="EQ73" s="453">
        <v>66.25</v>
      </c>
      <c r="ER73" s="453">
        <v>21.9</v>
      </c>
      <c r="ES73" s="453">
        <v>78.8</v>
      </c>
      <c r="ET73" s="453">
        <v>248.75</v>
      </c>
      <c r="EU73" s="453">
        <v>121.15</v>
      </c>
      <c r="EV73" s="453">
        <v>117.38725605723107</v>
      </c>
      <c r="FH73">
        <v>19</v>
      </c>
      <c r="FI73" t="s">
        <v>1040</v>
      </c>
      <c r="FJ73" t="s">
        <v>732</v>
      </c>
      <c r="FK73" t="s">
        <v>694</v>
      </c>
      <c r="FL73" s="286">
        <v>2122</v>
      </c>
      <c r="FM73" s="286">
        <v>61860</v>
      </c>
      <c r="FN73" s="286">
        <v>15740892</v>
      </c>
      <c r="FO73" s="286">
        <v>3237440</v>
      </c>
      <c r="FP73">
        <v>36</v>
      </c>
      <c r="FQ73" s="925">
        <v>7463.6077432689826</v>
      </c>
      <c r="FR73" s="926">
        <v>461698774.99861926</v>
      </c>
      <c r="FS73">
        <v>1</v>
      </c>
      <c r="FU73" s="2"/>
    </row>
    <row r="74" spans="1:177" ht="16" customHeight="1">
      <c r="A74">
        <v>2018</v>
      </c>
      <c r="B74">
        <v>3680</v>
      </c>
      <c r="C74" t="s">
        <v>252</v>
      </c>
      <c r="D74" t="s">
        <v>245</v>
      </c>
      <c r="E74" s="203">
        <v>93</v>
      </c>
      <c r="F74" s="203" t="s">
        <v>250</v>
      </c>
      <c r="G74" s="203" t="s">
        <v>247</v>
      </c>
      <c r="H74" s="203" t="s">
        <v>248</v>
      </c>
      <c r="I74" s="202">
        <v>0</v>
      </c>
      <c r="J74" s="202">
        <v>0</v>
      </c>
      <c r="K74" s="202">
        <v>0</v>
      </c>
      <c r="L74" s="253"/>
      <c r="M74" s="254">
        <v>2019</v>
      </c>
      <c r="N74" s="254">
        <v>3410</v>
      </c>
      <c r="O74" s="255" t="s">
        <v>253</v>
      </c>
      <c r="P74" s="254">
        <v>410</v>
      </c>
      <c r="Q74" s="254">
        <v>220</v>
      </c>
      <c r="R74" s="255" t="s">
        <v>36</v>
      </c>
      <c r="S74" s="255" t="s">
        <v>203</v>
      </c>
      <c r="T74" s="350">
        <v>242000</v>
      </c>
      <c r="U74" s="350">
        <v>153000</v>
      </c>
      <c r="V74" s="350">
        <v>0</v>
      </c>
      <c r="W74" s="350">
        <v>39000</v>
      </c>
      <c r="X74" s="350">
        <v>434000</v>
      </c>
      <c r="AA74" s="272">
        <v>2019</v>
      </c>
      <c r="AB74" s="272">
        <v>2670</v>
      </c>
      <c r="AC74" s="273" t="s">
        <v>257</v>
      </c>
      <c r="AD74" s="272" t="s">
        <v>489</v>
      </c>
      <c r="AE74" s="272">
        <v>37</v>
      </c>
      <c r="AF74" s="274" t="s">
        <v>388</v>
      </c>
      <c r="AG74" s="272">
        <v>3</v>
      </c>
      <c r="AH74" s="272">
        <v>0</v>
      </c>
      <c r="AI74" s="272">
        <v>3</v>
      </c>
      <c r="AJ74" s="272">
        <v>0</v>
      </c>
      <c r="AK74" s="272">
        <v>256</v>
      </c>
      <c r="AL74" s="352">
        <v>85.333333333333329</v>
      </c>
      <c r="AX74" s="254">
        <v>2019</v>
      </c>
      <c r="AY74" s="254">
        <v>3680</v>
      </c>
      <c r="AZ74" s="255" t="s">
        <v>252</v>
      </c>
      <c r="BA74" s="254">
        <v>410</v>
      </c>
      <c r="BB74" s="254">
        <v>320</v>
      </c>
      <c r="BC74" s="255" t="s">
        <v>555</v>
      </c>
      <c r="BD74" s="255" t="s">
        <v>202</v>
      </c>
      <c r="BE74" s="350">
        <v>0</v>
      </c>
      <c r="BF74" s="350">
        <v>0</v>
      </c>
      <c r="BG74" s="350">
        <v>-346000</v>
      </c>
      <c r="BH74" s="350">
        <v>0</v>
      </c>
      <c r="BI74" s="350">
        <v>-346000</v>
      </c>
      <c r="BK74" s="272">
        <v>2019</v>
      </c>
      <c r="BL74" s="272">
        <v>3050</v>
      </c>
      <c r="BM74" s="273" t="s">
        <v>254</v>
      </c>
      <c r="BN74" s="272" t="s">
        <v>588</v>
      </c>
      <c r="BO74" s="272">
        <v>64</v>
      </c>
      <c r="BP74" s="441" t="s">
        <v>594</v>
      </c>
      <c r="BQ74" s="272">
        <v>0</v>
      </c>
      <c r="BR74" s="272">
        <v>0</v>
      </c>
      <c r="BS74" s="272">
        <v>0</v>
      </c>
      <c r="BT74" s="272">
        <v>0</v>
      </c>
      <c r="BU74" s="272">
        <v>0</v>
      </c>
      <c r="BV74" s="272">
        <v>0</v>
      </c>
      <c r="BY74" t="s">
        <v>253</v>
      </c>
      <c r="BZ74" s="296">
        <f>113238-1658</f>
        <v>111580</v>
      </c>
      <c r="CA74" s="468">
        <v>3.95</v>
      </c>
      <c r="CB74" s="286">
        <f t="shared" si="89"/>
        <v>28248.101265822785</v>
      </c>
      <c r="CM74" s="299">
        <v>2019</v>
      </c>
      <c r="CN74" s="299">
        <v>1370</v>
      </c>
      <c r="CO74" s="300" t="s">
        <v>255</v>
      </c>
      <c r="CP74" s="299">
        <v>755</v>
      </c>
      <c r="CQ74" s="299">
        <v>41</v>
      </c>
      <c r="CR74" s="294" t="s">
        <v>385</v>
      </c>
      <c r="CS74" s="294" t="s">
        <v>404</v>
      </c>
      <c r="CT74" s="294" t="s">
        <v>397</v>
      </c>
      <c r="CU74" s="301">
        <v>494000</v>
      </c>
      <c r="DB74">
        <f t="shared" si="72"/>
        <v>14</v>
      </c>
      <c r="DC74" s="595" t="s">
        <v>927</v>
      </c>
      <c r="DD74" s="595" t="s">
        <v>928</v>
      </c>
      <c r="DE74" s="595" t="s">
        <v>690</v>
      </c>
      <c r="DF74" s="286">
        <v>4680</v>
      </c>
      <c r="DG74" s="286">
        <v>463240</v>
      </c>
      <c r="DH74" s="286">
        <v>30202360</v>
      </c>
      <c r="DI74" s="286">
        <v>15747095</v>
      </c>
      <c r="DJ74">
        <v>13</v>
      </c>
      <c r="DK74" s="643">
        <f t="shared" si="74"/>
        <v>106.2931379319991</v>
      </c>
      <c r="DL74" s="408">
        <f t="shared" si="75"/>
        <v>49239233.215619259</v>
      </c>
      <c r="DM74" s="286"/>
      <c r="DN74" s="286"/>
      <c r="EC74" s="289" t="s">
        <v>698</v>
      </c>
      <c r="ED74" s="296">
        <v>2187568</v>
      </c>
      <c r="EE74" s="478">
        <v>1</v>
      </c>
      <c r="EF74" s="296">
        <v>2187568</v>
      </c>
      <c r="EG74" s="477">
        <v>2.0160338160588367</v>
      </c>
      <c r="EH74" s="594">
        <v>2222643.0629281974</v>
      </c>
      <c r="EI74" s="286">
        <v>4410211.0629281979</v>
      </c>
      <c r="EJ74" s="472">
        <f t="shared" si="86"/>
        <v>0.49602342581480563</v>
      </c>
      <c r="EK74" s="472">
        <f t="shared" si="88"/>
        <v>0.50397657418519437</v>
      </c>
      <c r="EL74" s="596">
        <f t="shared" si="87"/>
        <v>0.32995796872370264</v>
      </c>
      <c r="EM74" s="453">
        <v>24</v>
      </c>
      <c r="EN74" s="453">
        <v>166.58333333333334</v>
      </c>
      <c r="EO74" s="453">
        <v>53.083333333333336</v>
      </c>
      <c r="EP74" s="453">
        <v>16.5</v>
      </c>
      <c r="EQ74" s="453">
        <v>79.8</v>
      </c>
      <c r="ER74" s="453">
        <v>24.8</v>
      </c>
      <c r="ES74" s="453">
        <v>69.5</v>
      </c>
      <c r="ET74" s="453">
        <v>340.2</v>
      </c>
      <c r="EU74" s="453">
        <v>118.15</v>
      </c>
      <c r="EV74" s="453">
        <v>112.46038248868147</v>
      </c>
      <c r="FH74">
        <v>41</v>
      </c>
      <c r="FI74" t="s">
        <v>1073</v>
      </c>
      <c r="FJ74" t="s">
        <v>1074</v>
      </c>
      <c r="FK74" t="s">
        <v>694</v>
      </c>
      <c r="FL74" s="286">
        <v>8596</v>
      </c>
      <c r="FM74" s="286">
        <v>287726</v>
      </c>
      <c r="FN74" s="286">
        <v>79077880</v>
      </c>
      <c r="FO74" s="286">
        <v>23656922</v>
      </c>
      <c r="FP74">
        <v>36</v>
      </c>
      <c r="FQ74" s="925">
        <v>7463.6077432689826</v>
      </c>
      <c r="FR74" s="926">
        <v>2147474001.5398114</v>
      </c>
      <c r="FS74">
        <v>1</v>
      </c>
      <c r="FU74" s="2"/>
    </row>
    <row r="75" spans="1:177" ht="16" customHeight="1">
      <c r="A75">
        <v>2018</v>
      </c>
      <c r="B75">
        <v>3680</v>
      </c>
      <c r="C75" t="s">
        <v>252</v>
      </c>
      <c r="D75" t="s">
        <v>245</v>
      </c>
      <c r="E75" s="203">
        <v>94</v>
      </c>
      <c r="F75" s="203" t="s">
        <v>250</v>
      </c>
      <c r="G75" s="203" t="s">
        <v>247</v>
      </c>
      <c r="H75" s="203" t="s">
        <v>249</v>
      </c>
      <c r="I75" s="202">
        <v>0</v>
      </c>
      <c r="J75" s="202">
        <v>0</v>
      </c>
      <c r="K75" s="202">
        <v>0</v>
      </c>
      <c r="L75" s="253"/>
      <c r="M75" s="254">
        <v>2019</v>
      </c>
      <c r="N75" s="254">
        <v>3410</v>
      </c>
      <c r="O75" s="255" t="s">
        <v>253</v>
      </c>
      <c r="P75" s="254">
        <v>410</v>
      </c>
      <c r="Q75" s="254">
        <v>221</v>
      </c>
      <c r="R75" s="255" t="s">
        <v>36</v>
      </c>
      <c r="S75" s="255" t="s">
        <v>197</v>
      </c>
      <c r="T75" s="350">
        <v>9458000</v>
      </c>
      <c r="U75" s="350">
        <v>13988000</v>
      </c>
      <c r="V75" s="350">
        <v>12054000</v>
      </c>
      <c r="W75" s="350">
        <v>423000</v>
      </c>
      <c r="X75" s="350">
        <v>35923000</v>
      </c>
      <c r="AA75" s="272">
        <v>2019</v>
      </c>
      <c r="AB75" s="272">
        <v>2670</v>
      </c>
      <c r="AC75" s="273" t="s">
        <v>257</v>
      </c>
      <c r="AD75" s="272" t="s">
        <v>489</v>
      </c>
      <c r="AE75" s="272">
        <v>38</v>
      </c>
      <c r="AF75" s="274" t="s">
        <v>389</v>
      </c>
      <c r="AG75" s="272">
        <v>4870</v>
      </c>
      <c r="AH75" s="272">
        <v>0</v>
      </c>
      <c r="AI75" s="272">
        <v>4506</v>
      </c>
      <c r="AJ75" s="272">
        <v>0</v>
      </c>
      <c r="AK75" s="272">
        <v>366097</v>
      </c>
      <c r="AL75" s="352">
        <v>81.246560142032848</v>
      </c>
      <c r="AX75" s="254">
        <v>2019</v>
      </c>
      <c r="AY75" s="254">
        <v>3680</v>
      </c>
      <c r="AZ75" s="255" t="s">
        <v>252</v>
      </c>
      <c r="BA75" s="254">
        <v>410</v>
      </c>
      <c r="BB75" s="254">
        <v>321</v>
      </c>
      <c r="BC75" s="255" t="s">
        <v>555</v>
      </c>
      <c r="BD75" s="255" t="s">
        <v>156</v>
      </c>
      <c r="BE75" s="350">
        <v>0</v>
      </c>
      <c r="BF75" s="350">
        <v>0</v>
      </c>
      <c r="BG75" s="350">
        <v>0</v>
      </c>
      <c r="BH75" s="350">
        <v>0</v>
      </c>
      <c r="BI75" s="350">
        <v>0</v>
      </c>
      <c r="BK75" s="272">
        <v>2019</v>
      </c>
      <c r="BL75" s="272">
        <v>3050</v>
      </c>
      <c r="BM75" s="273" t="s">
        <v>254</v>
      </c>
      <c r="BN75" s="272" t="s">
        <v>588</v>
      </c>
      <c r="BO75" s="272">
        <v>65</v>
      </c>
      <c r="BP75" s="441" t="s">
        <v>595</v>
      </c>
      <c r="BQ75" s="272">
        <v>0</v>
      </c>
      <c r="BR75" s="272">
        <v>0</v>
      </c>
      <c r="BS75" s="272">
        <v>0</v>
      </c>
      <c r="BT75" s="272">
        <v>0</v>
      </c>
      <c r="BU75" s="272">
        <v>0</v>
      </c>
      <c r="BV75" s="272">
        <v>0</v>
      </c>
      <c r="BY75" t="s">
        <v>258</v>
      </c>
      <c r="BZ75" s="296">
        <f>3318953-46780</f>
        <v>3272173</v>
      </c>
      <c r="CA75" s="468">
        <v>4.59</v>
      </c>
      <c r="CB75" s="286">
        <f t="shared" si="89"/>
        <v>712891.72113289766</v>
      </c>
      <c r="CM75" s="299">
        <v>2019</v>
      </c>
      <c r="CN75" s="299">
        <v>1370</v>
      </c>
      <c r="CO75" s="300" t="s">
        <v>255</v>
      </c>
      <c r="CP75" s="299">
        <v>755</v>
      </c>
      <c r="CQ75" s="299">
        <v>42</v>
      </c>
      <c r="CR75" s="294" t="s">
        <v>385</v>
      </c>
      <c r="CS75" s="294" t="s">
        <v>404</v>
      </c>
      <c r="CT75" s="294" t="s">
        <v>398</v>
      </c>
      <c r="CU75" s="301">
        <v>3969000</v>
      </c>
      <c r="DB75">
        <f t="shared" si="72"/>
        <v>19</v>
      </c>
      <c r="DC75" s="595" t="s">
        <v>1040</v>
      </c>
      <c r="DD75" s="595" t="s">
        <v>732</v>
      </c>
      <c r="DE75" s="595" t="s">
        <v>694</v>
      </c>
      <c r="DF75" s="286">
        <v>2122</v>
      </c>
      <c r="DG75" s="286">
        <v>61860</v>
      </c>
      <c r="DH75" s="286">
        <v>15740892</v>
      </c>
      <c r="DI75" s="286">
        <v>3237440</v>
      </c>
      <c r="DJ75">
        <v>36</v>
      </c>
      <c r="DK75" s="643">
        <f t="shared" si="74"/>
        <v>7463.6077432689826</v>
      </c>
      <c r="DL75" s="408">
        <f t="shared" si="75"/>
        <v>461698774.99861926</v>
      </c>
      <c r="DM75" s="286"/>
      <c r="DN75" s="286"/>
      <c r="EC75" s="289"/>
      <c r="ED75" s="296">
        <f>SUM(ED69:ED74)</f>
        <v>6646323</v>
      </c>
      <c r="EE75" s="478"/>
      <c r="EF75" s="296">
        <f>SUM(EF69:EF74)</f>
        <v>6646323</v>
      </c>
      <c r="EG75" s="477"/>
      <c r="EH75" s="296">
        <f>SUM(EH69:EH74)</f>
        <v>6719655.3395659775</v>
      </c>
      <c r="EI75" s="296">
        <f>SUM(EI69:EI74)</f>
        <v>13365978.339565977</v>
      </c>
      <c r="EJ75" s="472"/>
      <c r="EK75" s="472"/>
      <c r="EL75" s="596">
        <f>SUM(EL69:EL74)</f>
        <v>1</v>
      </c>
      <c r="EM75" s="453"/>
      <c r="EN75" s="453"/>
      <c r="EO75" s="453"/>
      <c r="EP75" s="453"/>
      <c r="EQ75" s="453"/>
      <c r="ER75" s="453"/>
      <c r="ES75" s="453"/>
      <c r="ET75" s="453"/>
      <c r="EU75" s="453"/>
      <c r="EV75" s="453"/>
      <c r="EW75" s="453"/>
      <c r="FH75">
        <v>14</v>
      </c>
      <c r="FI75" t="s">
        <v>1016</v>
      </c>
      <c r="FJ75" t="s">
        <v>1017</v>
      </c>
      <c r="FK75" t="s">
        <v>688</v>
      </c>
      <c r="FL75" s="286">
        <v>94262</v>
      </c>
      <c r="FM75" s="286">
        <v>10108470</v>
      </c>
      <c r="FN75" s="286">
        <v>119023947</v>
      </c>
      <c r="FO75" s="286">
        <v>51730414.000000007</v>
      </c>
      <c r="FP75">
        <v>12</v>
      </c>
      <c r="FQ75" s="925">
        <v>12.148631154247422</v>
      </c>
      <c r="FR75" s="926">
        <v>122804073.56377544</v>
      </c>
      <c r="FS75">
        <v>1</v>
      </c>
      <c r="FU75" s="2"/>
    </row>
    <row r="76" spans="1:177" ht="16" customHeight="1">
      <c r="A76">
        <v>2018</v>
      </c>
      <c r="B76">
        <v>3680</v>
      </c>
      <c r="C76" t="s">
        <v>252</v>
      </c>
      <c r="D76" t="s">
        <v>245</v>
      </c>
      <c r="E76" s="203">
        <v>97</v>
      </c>
      <c r="F76" s="203" t="s">
        <v>251</v>
      </c>
      <c r="G76" s="203" t="s">
        <v>247</v>
      </c>
      <c r="H76" s="203" t="s">
        <v>248</v>
      </c>
      <c r="I76" s="202">
        <v>0</v>
      </c>
      <c r="J76" s="202">
        <v>0</v>
      </c>
      <c r="K76" s="202">
        <v>0</v>
      </c>
      <c r="L76" s="253"/>
      <c r="M76" s="254">
        <v>2019</v>
      </c>
      <c r="N76" s="254">
        <v>3410</v>
      </c>
      <c r="O76" s="255" t="s">
        <v>253</v>
      </c>
      <c r="P76" s="254">
        <v>410</v>
      </c>
      <c r="Q76" s="254">
        <v>222</v>
      </c>
      <c r="R76" s="255" t="s">
        <v>36</v>
      </c>
      <c r="S76" s="255" t="s">
        <v>198</v>
      </c>
      <c r="T76" s="350">
        <v>0</v>
      </c>
      <c r="U76" s="350">
        <v>0</v>
      </c>
      <c r="V76" s="350">
        <v>0</v>
      </c>
      <c r="W76" s="350">
        <v>0</v>
      </c>
      <c r="X76" s="350">
        <v>0</v>
      </c>
      <c r="AA76" s="272">
        <v>2019</v>
      </c>
      <c r="AB76" s="272">
        <v>2670</v>
      </c>
      <c r="AC76" s="273" t="s">
        <v>257</v>
      </c>
      <c r="AD76" s="272" t="s">
        <v>489</v>
      </c>
      <c r="AE76" s="272">
        <v>39</v>
      </c>
      <c r="AF76" s="274" t="s">
        <v>390</v>
      </c>
      <c r="AG76" s="272">
        <v>13163</v>
      </c>
      <c r="AH76" s="272">
        <v>0</v>
      </c>
      <c r="AI76" s="272">
        <v>13222</v>
      </c>
      <c r="AJ76" s="272">
        <v>0</v>
      </c>
      <c r="AK76" s="272">
        <v>1566961</v>
      </c>
      <c r="AL76" s="352">
        <v>118.51164725457571</v>
      </c>
      <c r="AX76" s="254">
        <v>2019</v>
      </c>
      <c r="AY76" s="254">
        <v>3680</v>
      </c>
      <c r="AZ76" s="255" t="s">
        <v>252</v>
      </c>
      <c r="BA76" s="254">
        <v>410</v>
      </c>
      <c r="BB76" s="254">
        <v>322</v>
      </c>
      <c r="BC76" s="255" t="s">
        <v>555</v>
      </c>
      <c r="BD76" s="255" t="s">
        <v>158</v>
      </c>
      <c r="BE76" s="350">
        <v>0</v>
      </c>
      <c r="BF76" s="350">
        <v>0</v>
      </c>
      <c r="BG76" s="350">
        <v>0</v>
      </c>
      <c r="BH76" s="350">
        <v>0</v>
      </c>
      <c r="BI76" s="350">
        <v>0</v>
      </c>
      <c r="BK76" s="272">
        <v>2019</v>
      </c>
      <c r="BL76" s="272">
        <v>3050</v>
      </c>
      <c r="BM76" s="273" t="s">
        <v>254</v>
      </c>
      <c r="BN76" s="272" t="s">
        <v>588</v>
      </c>
      <c r="BO76" s="272">
        <v>66</v>
      </c>
      <c r="BP76" s="441" t="s">
        <v>596</v>
      </c>
      <c r="BQ76" s="272">
        <v>0</v>
      </c>
      <c r="BR76" s="272">
        <v>0</v>
      </c>
      <c r="BS76" s="272">
        <v>0</v>
      </c>
      <c r="BT76" s="272">
        <v>0</v>
      </c>
      <c r="BU76" s="272">
        <v>0</v>
      </c>
      <c r="BV76" s="272">
        <v>0</v>
      </c>
      <c r="BY76" t="s">
        <v>252</v>
      </c>
      <c r="BZ76" s="296">
        <f>1003501-15119</f>
        <v>988382</v>
      </c>
      <c r="CA76" s="468">
        <v>5.01</v>
      </c>
      <c r="CB76" s="286">
        <f t="shared" si="89"/>
        <v>197281.83632734531</v>
      </c>
      <c r="CM76" s="299">
        <v>2019</v>
      </c>
      <c r="CN76" s="299">
        <v>1370</v>
      </c>
      <c r="CO76" s="300" t="s">
        <v>255</v>
      </c>
      <c r="CP76" s="299">
        <v>755</v>
      </c>
      <c r="CQ76" s="299">
        <v>43</v>
      </c>
      <c r="CR76" s="294" t="s">
        <v>385</v>
      </c>
      <c r="CS76" s="294" t="s">
        <v>404</v>
      </c>
      <c r="CT76" s="294" t="s">
        <v>399</v>
      </c>
      <c r="CU76" s="301">
        <v>24000</v>
      </c>
      <c r="DB76">
        <f t="shared" si="72"/>
        <v>20</v>
      </c>
      <c r="DC76" s="595" t="s">
        <v>1093</v>
      </c>
      <c r="DD76" s="595" t="s">
        <v>1094</v>
      </c>
      <c r="DE76" s="595" t="s">
        <v>695</v>
      </c>
      <c r="DF76" s="286">
        <v>1120</v>
      </c>
      <c r="DG76" s="286">
        <v>93080</v>
      </c>
      <c r="DH76" s="286">
        <v>5252139.9999999991</v>
      </c>
      <c r="DI76" s="286">
        <v>2765123</v>
      </c>
      <c r="DJ76">
        <v>5</v>
      </c>
      <c r="DK76" s="643">
        <f t="shared" si="74"/>
        <v>3558.1300539715367</v>
      </c>
      <c r="DL76" s="408">
        <f t="shared" si="75"/>
        <v>331190745.42367065</v>
      </c>
      <c r="DM76" s="286"/>
      <c r="DN76" s="286"/>
      <c r="EC76" s="598" t="s">
        <v>1792</v>
      </c>
      <c r="ED76" s="296"/>
      <c r="EE76" s="478"/>
      <c r="EF76" s="296"/>
      <c r="EG76" s="477"/>
      <c r="EH76" s="594"/>
      <c r="EI76" s="286"/>
      <c r="EJ76" s="472"/>
      <c r="EK76" s="472"/>
      <c r="EL76" s="596"/>
      <c r="EM76" s="453"/>
      <c r="EN76" s="453"/>
      <c r="EO76" s="453"/>
      <c r="EP76" s="453"/>
      <c r="EQ76" s="453"/>
      <c r="ER76" s="453"/>
      <c r="ES76" s="453"/>
      <c r="ET76" s="453"/>
      <c r="EU76" s="453"/>
      <c r="EV76" s="453"/>
      <c r="EW76" s="453"/>
      <c r="FH76">
        <v>14</v>
      </c>
      <c r="FI76" t="s">
        <v>1075</v>
      </c>
      <c r="FJ76" t="s">
        <v>1076</v>
      </c>
      <c r="FK76" t="s">
        <v>688</v>
      </c>
      <c r="FL76" s="286">
        <v>5819</v>
      </c>
      <c r="FM76" s="286">
        <v>605092</v>
      </c>
      <c r="FN76" s="286">
        <v>6618554</v>
      </c>
      <c r="FO76" s="286">
        <v>2246640</v>
      </c>
      <c r="FP76">
        <v>12</v>
      </c>
      <c r="FQ76" s="925">
        <v>12.148631154247422</v>
      </c>
      <c r="FR76" s="926">
        <v>7351039.5223858813</v>
      </c>
      <c r="FS76">
        <v>1</v>
      </c>
      <c r="FU76" s="2"/>
    </row>
    <row r="77" spans="1:177" ht="16" customHeight="1">
      <c r="A77">
        <v>2018</v>
      </c>
      <c r="B77">
        <v>3680</v>
      </c>
      <c r="C77" t="s">
        <v>252</v>
      </c>
      <c r="D77" t="s">
        <v>245</v>
      </c>
      <c r="E77" s="203">
        <v>98</v>
      </c>
      <c r="F77" s="203" t="s">
        <v>251</v>
      </c>
      <c r="G77" s="203" t="s">
        <v>247</v>
      </c>
      <c r="H77" s="204" t="s">
        <v>249</v>
      </c>
      <c r="I77" s="202">
        <v>0</v>
      </c>
      <c r="J77" s="202">
        <v>0</v>
      </c>
      <c r="K77" s="202">
        <v>0</v>
      </c>
      <c r="L77" s="253"/>
      <c r="M77" s="254">
        <v>2019</v>
      </c>
      <c r="N77" s="254">
        <v>3410</v>
      </c>
      <c r="O77" s="255" t="s">
        <v>253</v>
      </c>
      <c r="P77" s="254">
        <v>410</v>
      </c>
      <c r="Q77" s="254">
        <v>223</v>
      </c>
      <c r="R77" s="255" t="s">
        <v>36</v>
      </c>
      <c r="S77" s="255" t="s">
        <v>199</v>
      </c>
      <c r="T77" s="350">
        <v>0</v>
      </c>
      <c r="U77" s="350">
        <v>0</v>
      </c>
      <c r="V77" s="350">
        <v>0</v>
      </c>
      <c r="W77" s="350">
        <v>0</v>
      </c>
      <c r="X77" s="350">
        <v>0</v>
      </c>
      <c r="AA77" s="272">
        <v>2019</v>
      </c>
      <c r="AB77" s="272">
        <v>2670</v>
      </c>
      <c r="AC77" s="273" t="s">
        <v>257</v>
      </c>
      <c r="AD77" s="272" t="s">
        <v>489</v>
      </c>
      <c r="AE77" s="272">
        <v>40</v>
      </c>
      <c r="AF77" s="274" t="s">
        <v>391</v>
      </c>
      <c r="AG77" s="272">
        <v>6225</v>
      </c>
      <c r="AH77" s="272">
        <v>0</v>
      </c>
      <c r="AI77" s="272">
        <v>5880</v>
      </c>
      <c r="AJ77" s="272">
        <v>0</v>
      </c>
      <c r="AK77" s="272">
        <v>595999</v>
      </c>
      <c r="AL77" s="352">
        <v>101.36037414965986</v>
      </c>
      <c r="AX77" s="254">
        <v>2019</v>
      </c>
      <c r="AY77" s="254">
        <v>3680</v>
      </c>
      <c r="AZ77" s="255" t="s">
        <v>252</v>
      </c>
      <c r="BA77" s="254">
        <v>410</v>
      </c>
      <c r="BB77" s="254">
        <v>323</v>
      </c>
      <c r="BC77" s="255" t="s">
        <v>555</v>
      </c>
      <c r="BD77" s="255" t="s">
        <v>562</v>
      </c>
      <c r="BE77" s="350">
        <v>149000</v>
      </c>
      <c r="BF77" s="350">
        <v>511000</v>
      </c>
      <c r="BG77" s="350">
        <v>499000</v>
      </c>
      <c r="BH77" s="350">
        <v>9516000</v>
      </c>
      <c r="BI77" s="350">
        <v>10675000</v>
      </c>
      <c r="BK77" s="272">
        <v>2019</v>
      </c>
      <c r="BL77" s="272">
        <v>3050</v>
      </c>
      <c r="BM77" s="273" t="s">
        <v>254</v>
      </c>
      <c r="BN77" s="272" t="s">
        <v>588</v>
      </c>
      <c r="BO77" s="272">
        <v>67</v>
      </c>
      <c r="BP77" s="441" t="s">
        <v>597</v>
      </c>
      <c r="BQ77" s="272">
        <v>0</v>
      </c>
      <c r="BR77" s="272">
        <v>0</v>
      </c>
      <c r="BS77" s="272">
        <v>0</v>
      </c>
      <c r="BT77" s="272">
        <v>0</v>
      </c>
      <c r="BU77" s="272">
        <v>0</v>
      </c>
      <c r="BV77" s="272">
        <v>0</v>
      </c>
      <c r="BY77" s="406" t="s">
        <v>244</v>
      </c>
      <c r="BZ77" s="463">
        <f>3125043-43901</f>
        <v>3081142</v>
      </c>
      <c r="CA77" s="469">
        <v>4.5999999999999996</v>
      </c>
      <c r="CB77" s="464">
        <f t="shared" si="89"/>
        <v>669813.47826086963</v>
      </c>
      <c r="CM77" s="299">
        <v>2019</v>
      </c>
      <c r="CN77" s="299">
        <v>1370</v>
      </c>
      <c r="CO77" s="300" t="s">
        <v>255</v>
      </c>
      <c r="CP77" s="299">
        <v>755</v>
      </c>
      <c r="CQ77" s="299">
        <v>44</v>
      </c>
      <c r="CR77" s="294" t="s">
        <v>385</v>
      </c>
      <c r="CS77" s="294" t="s">
        <v>404</v>
      </c>
      <c r="CT77" s="294" t="s">
        <v>400</v>
      </c>
      <c r="CU77" s="301">
        <v>41951000</v>
      </c>
      <c r="DB77">
        <f t="shared" si="72"/>
        <v>20</v>
      </c>
      <c r="DC77" s="595" t="s">
        <v>1095</v>
      </c>
      <c r="DD77" s="595" t="s">
        <v>1096</v>
      </c>
      <c r="DE77" s="595" t="s">
        <v>695</v>
      </c>
      <c r="DF77" s="286">
        <v>13016</v>
      </c>
      <c r="DG77" s="286">
        <v>1170912</v>
      </c>
      <c r="DH77" s="286">
        <v>49816217.000000007</v>
      </c>
      <c r="DI77" s="286">
        <v>27378832.000000004</v>
      </c>
      <c r="DJ77">
        <v>7</v>
      </c>
      <c r="DK77" s="643">
        <f t="shared" si="74"/>
        <v>1047.1475692534934</v>
      </c>
      <c r="DL77" s="408">
        <f t="shared" si="75"/>
        <v>1226117654.6097465</v>
      </c>
      <c r="DM77" s="286"/>
      <c r="DN77" s="286"/>
      <c r="EC77" s="289" t="s">
        <v>695</v>
      </c>
      <c r="ED77" s="296">
        <v>3479914</v>
      </c>
      <c r="EE77" s="478">
        <v>1</v>
      </c>
      <c r="EF77" s="296">
        <v>3479914</v>
      </c>
      <c r="EG77" s="477">
        <v>2.03277833409512</v>
      </c>
      <c r="EH77" s="594">
        <v>3593979.7837142856</v>
      </c>
      <c r="EI77" s="286">
        <v>7073893.7837142851</v>
      </c>
      <c r="EJ77" s="472">
        <f t="shared" ref="EJ77" si="90">EF77/EI77</f>
        <v>0.49193755326261113</v>
      </c>
      <c r="EK77" s="472">
        <f t="shared" ref="EK77" si="91">1-EJ77</f>
        <v>0.50806244673738887</v>
      </c>
      <c r="EL77" s="596">
        <v>1</v>
      </c>
      <c r="EM77" s="453">
        <v>32.833333333333336</v>
      </c>
      <c r="EN77" s="453">
        <v>81.833333333333329</v>
      </c>
      <c r="EO77" s="453">
        <v>59.333333333333336</v>
      </c>
      <c r="EP77" s="453">
        <v>15.6</v>
      </c>
      <c r="EQ77" s="453">
        <v>93.5</v>
      </c>
      <c r="ER77" s="453">
        <v>37.9</v>
      </c>
      <c r="ES77" s="453">
        <v>40</v>
      </c>
      <c r="ET77" s="453">
        <v>149.05000000000001</v>
      </c>
      <c r="EU77" s="453">
        <v>98.35</v>
      </c>
      <c r="EV77" s="453">
        <v>86.617876763621169</v>
      </c>
      <c r="EW77" s="453"/>
      <c r="FH77">
        <v>14</v>
      </c>
      <c r="FI77" t="s">
        <v>1016</v>
      </c>
      <c r="FJ77" t="s">
        <v>1017</v>
      </c>
      <c r="FK77" t="s">
        <v>691</v>
      </c>
      <c r="FL77" s="286">
        <v>344861</v>
      </c>
      <c r="FM77" s="286">
        <v>34732249</v>
      </c>
      <c r="FN77" s="286">
        <v>356332491.99999994</v>
      </c>
      <c r="FO77" s="286">
        <v>181041205.00000003</v>
      </c>
      <c r="FP77">
        <v>12</v>
      </c>
      <c r="FQ77" s="925">
        <v>12.148631154247422</v>
      </c>
      <c r="FR77" s="926">
        <v>421949282.25847888</v>
      </c>
      <c r="FS77">
        <v>1</v>
      </c>
      <c r="FU77" s="2"/>
    </row>
    <row r="78" spans="1:177" ht="16" customHeight="1">
      <c r="A78">
        <v>2018</v>
      </c>
      <c r="B78">
        <v>3410</v>
      </c>
      <c r="C78" t="s">
        <v>253</v>
      </c>
      <c r="D78" t="s">
        <v>245</v>
      </c>
      <c r="E78" s="203">
        <v>91</v>
      </c>
      <c r="F78" s="203" t="s">
        <v>246</v>
      </c>
      <c r="G78" s="203" t="s">
        <v>247</v>
      </c>
      <c r="H78" s="203" t="s">
        <v>248</v>
      </c>
      <c r="I78" s="202">
        <v>0</v>
      </c>
      <c r="J78" s="202">
        <v>0</v>
      </c>
      <c r="K78" s="202">
        <v>0</v>
      </c>
      <c r="L78" s="253"/>
      <c r="M78" s="254">
        <v>2019</v>
      </c>
      <c r="N78" s="254">
        <v>3410</v>
      </c>
      <c r="O78" s="255" t="s">
        <v>253</v>
      </c>
      <c r="P78" s="254">
        <v>410</v>
      </c>
      <c r="Q78" s="254">
        <v>224</v>
      </c>
      <c r="R78" s="255" t="s">
        <v>36</v>
      </c>
      <c r="S78" s="255" t="s">
        <v>200</v>
      </c>
      <c r="T78" s="350">
        <v>0</v>
      </c>
      <c r="U78" s="350">
        <v>0</v>
      </c>
      <c r="V78" s="350">
        <v>0</v>
      </c>
      <c r="W78" s="350">
        <v>3350000</v>
      </c>
      <c r="X78" s="350">
        <v>3350000</v>
      </c>
      <c r="AA78" s="272">
        <v>2019</v>
      </c>
      <c r="AB78" s="272">
        <v>2670</v>
      </c>
      <c r="AC78" s="273" t="s">
        <v>257</v>
      </c>
      <c r="AD78" s="272" t="s">
        <v>489</v>
      </c>
      <c r="AE78" s="272">
        <v>41</v>
      </c>
      <c r="AF78" s="274" t="s">
        <v>392</v>
      </c>
      <c r="AG78" s="272">
        <v>8570</v>
      </c>
      <c r="AH78" s="272">
        <v>0</v>
      </c>
      <c r="AI78" s="272">
        <v>8346</v>
      </c>
      <c r="AJ78" s="272">
        <v>0</v>
      </c>
      <c r="AK78" s="272">
        <v>891188</v>
      </c>
      <c r="AL78" s="352">
        <v>106.78025401389887</v>
      </c>
      <c r="AX78" s="254">
        <v>2019</v>
      </c>
      <c r="AY78" s="254">
        <v>3410</v>
      </c>
      <c r="AZ78" s="255" t="s">
        <v>253</v>
      </c>
      <c r="BA78" s="254">
        <v>410</v>
      </c>
      <c r="BB78" s="254">
        <v>301</v>
      </c>
      <c r="BC78" s="255" t="s">
        <v>555</v>
      </c>
      <c r="BD78" s="255" t="s">
        <v>203</v>
      </c>
      <c r="BE78" s="350">
        <v>0</v>
      </c>
      <c r="BF78" s="350">
        <v>1000</v>
      </c>
      <c r="BG78" s="350">
        <v>4000</v>
      </c>
      <c r="BH78" s="350">
        <v>0</v>
      </c>
      <c r="BI78" s="350">
        <v>5000</v>
      </c>
      <c r="BK78" s="272">
        <v>2019</v>
      </c>
      <c r="BL78" s="272">
        <v>3050</v>
      </c>
      <c r="BM78" s="273" t="s">
        <v>254</v>
      </c>
      <c r="BN78" s="272" t="s">
        <v>588</v>
      </c>
      <c r="BO78" s="272">
        <v>68</v>
      </c>
      <c r="BP78" s="441" t="s">
        <v>598</v>
      </c>
      <c r="BQ78" s="272">
        <v>0</v>
      </c>
      <c r="BR78" s="272">
        <v>0</v>
      </c>
      <c r="BS78" s="272">
        <v>0</v>
      </c>
      <c r="BT78" s="272">
        <v>0</v>
      </c>
      <c r="BU78" s="272">
        <v>0</v>
      </c>
      <c r="BV78" s="272">
        <v>0</v>
      </c>
      <c r="BY78" t="s">
        <v>283</v>
      </c>
      <c r="BZ78" s="296">
        <f>SUM(BZ71:BZ77)</f>
        <v>16840000</v>
      </c>
      <c r="CA78" s="473">
        <f>BZ78/CB78</f>
        <v>4.955556931232258</v>
      </c>
      <c r="CB78" s="296">
        <f t="shared" ref="CB78" si="92">SUM(CB71:CB77)</f>
        <v>3398205.3346751751</v>
      </c>
      <c r="CM78" s="299">
        <v>2019</v>
      </c>
      <c r="CN78" s="299">
        <v>1370</v>
      </c>
      <c r="CO78" s="300" t="s">
        <v>255</v>
      </c>
      <c r="CP78" s="299">
        <v>755</v>
      </c>
      <c r="CQ78" s="299">
        <v>45</v>
      </c>
      <c r="CR78" s="294" t="s">
        <v>385</v>
      </c>
      <c r="CS78" s="294" t="s">
        <v>405</v>
      </c>
      <c r="CT78" s="294" t="s">
        <v>402</v>
      </c>
      <c r="CU78" s="301">
        <v>2551000</v>
      </c>
      <c r="DB78">
        <f t="shared" si="72"/>
        <v>20</v>
      </c>
      <c r="DC78" s="595" t="s">
        <v>1097</v>
      </c>
      <c r="DD78" s="595" t="s">
        <v>1098</v>
      </c>
      <c r="DE78" s="595" t="s">
        <v>695</v>
      </c>
      <c r="DF78" s="286">
        <v>31520</v>
      </c>
      <c r="DG78" s="286">
        <v>2926880</v>
      </c>
      <c r="DH78" s="286">
        <v>107632517</v>
      </c>
      <c r="DI78" s="286">
        <v>73684701</v>
      </c>
      <c r="DJ78">
        <v>7</v>
      </c>
      <c r="DK78" s="643">
        <f t="shared" si="74"/>
        <v>1047.1475692534934</v>
      </c>
      <c r="DL78" s="408">
        <f t="shared" si="75"/>
        <v>3064875277.496665</v>
      </c>
      <c r="DM78" s="286"/>
      <c r="DN78" s="286"/>
      <c r="EW78" s="453"/>
      <c r="FH78">
        <v>11</v>
      </c>
      <c r="FI78" t="s">
        <v>1077</v>
      </c>
      <c r="FJ78" t="s">
        <v>1078</v>
      </c>
      <c r="FK78" t="s">
        <v>691</v>
      </c>
      <c r="FL78" s="286">
        <v>336518</v>
      </c>
      <c r="FM78" s="286">
        <v>37421846.000000007</v>
      </c>
      <c r="FN78" s="286">
        <v>699320987</v>
      </c>
      <c r="FO78" s="286">
        <v>368297851</v>
      </c>
      <c r="FP78">
        <v>15</v>
      </c>
      <c r="FQ78" s="925">
        <v>43.273741284778055</v>
      </c>
      <c r="FR78" s="926">
        <v>1619383282.2028067</v>
      </c>
      <c r="FS78">
        <v>1</v>
      </c>
      <c r="FU78" s="2"/>
    </row>
    <row r="79" spans="1:177" ht="16" customHeight="1">
      <c r="A79">
        <v>2018</v>
      </c>
      <c r="B79">
        <v>3410</v>
      </c>
      <c r="C79" t="s">
        <v>253</v>
      </c>
      <c r="D79" t="s">
        <v>245</v>
      </c>
      <c r="E79" s="203">
        <v>92</v>
      </c>
      <c r="F79" s="203" t="s">
        <v>246</v>
      </c>
      <c r="G79" s="203" t="s">
        <v>247</v>
      </c>
      <c r="H79" s="204" t="s">
        <v>249</v>
      </c>
      <c r="I79" s="202">
        <v>0</v>
      </c>
      <c r="J79" s="202">
        <v>0</v>
      </c>
      <c r="K79" s="202">
        <v>0</v>
      </c>
      <c r="L79" s="253"/>
      <c r="M79" s="254">
        <v>2019</v>
      </c>
      <c r="N79" s="254">
        <v>3410</v>
      </c>
      <c r="O79" s="255" t="s">
        <v>253</v>
      </c>
      <c r="P79" s="254">
        <v>410</v>
      </c>
      <c r="Q79" s="254">
        <v>225</v>
      </c>
      <c r="R79" s="255" t="s">
        <v>36</v>
      </c>
      <c r="S79" s="255" t="s">
        <v>201</v>
      </c>
      <c r="T79" s="350">
        <v>0</v>
      </c>
      <c r="U79" s="350">
        <v>0</v>
      </c>
      <c r="V79" s="350">
        <v>0</v>
      </c>
      <c r="W79" s="350">
        <v>4075000</v>
      </c>
      <c r="X79" s="350">
        <v>4075000</v>
      </c>
      <c r="AA79" s="272">
        <v>2019</v>
      </c>
      <c r="AB79" s="272">
        <v>2670</v>
      </c>
      <c r="AC79" s="273" t="s">
        <v>257</v>
      </c>
      <c r="AD79" s="272" t="s">
        <v>489</v>
      </c>
      <c r="AE79" s="272">
        <v>42</v>
      </c>
      <c r="AF79" s="274" t="s">
        <v>393</v>
      </c>
      <c r="AG79" s="272">
        <v>3766</v>
      </c>
      <c r="AH79" s="272">
        <v>0</v>
      </c>
      <c r="AI79" s="272">
        <v>3272</v>
      </c>
      <c r="AJ79" s="272">
        <v>0</v>
      </c>
      <c r="AK79" s="272">
        <v>339478</v>
      </c>
      <c r="AL79" s="352">
        <v>103.75244498777506</v>
      </c>
      <c r="AX79" s="254">
        <v>2019</v>
      </c>
      <c r="AY79" s="254">
        <v>3410</v>
      </c>
      <c r="AZ79" s="255" t="s">
        <v>253</v>
      </c>
      <c r="BA79" s="254">
        <v>410</v>
      </c>
      <c r="BB79" s="254">
        <v>302</v>
      </c>
      <c r="BC79" s="255" t="s">
        <v>555</v>
      </c>
      <c r="BD79" s="255" t="s">
        <v>556</v>
      </c>
      <c r="BE79" s="350">
        <v>0</v>
      </c>
      <c r="BF79" s="350">
        <v>579000</v>
      </c>
      <c r="BG79" s="350">
        <v>386000</v>
      </c>
      <c r="BH79" s="350">
        <v>0</v>
      </c>
      <c r="BI79" s="350">
        <v>965000</v>
      </c>
      <c r="BK79" s="272">
        <v>2019</v>
      </c>
      <c r="BL79" s="272">
        <v>3050</v>
      </c>
      <c r="BM79" s="273" t="s">
        <v>254</v>
      </c>
      <c r="BN79" s="272" t="s">
        <v>588</v>
      </c>
      <c r="BO79" s="272">
        <v>69</v>
      </c>
      <c r="BP79" s="441" t="s">
        <v>599</v>
      </c>
      <c r="BQ79" s="272">
        <v>0</v>
      </c>
      <c r="BR79" s="272">
        <v>0</v>
      </c>
      <c r="BS79" s="272">
        <v>0</v>
      </c>
      <c r="BT79" s="272">
        <v>0</v>
      </c>
      <c r="BU79" s="272">
        <v>0</v>
      </c>
      <c r="BV79" s="272">
        <v>0</v>
      </c>
      <c r="BZ79" s="470" t="s">
        <v>655</v>
      </c>
      <c r="CA79" s="470"/>
      <c r="CM79" s="299">
        <v>2019</v>
      </c>
      <c r="CN79" s="299">
        <v>1370</v>
      </c>
      <c r="CO79" s="300" t="s">
        <v>255</v>
      </c>
      <c r="CP79" s="299">
        <v>755</v>
      </c>
      <c r="CQ79" s="299">
        <v>46</v>
      </c>
      <c r="CR79" s="294" t="s">
        <v>385</v>
      </c>
      <c r="CS79" s="294" t="s">
        <v>405</v>
      </c>
      <c r="CT79" s="294" t="s">
        <v>406</v>
      </c>
      <c r="CU79" s="301">
        <v>165054000</v>
      </c>
      <c r="DB79">
        <f t="shared" si="72"/>
        <v>20</v>
      </c>
      <c r="DC79" s="595" t="s">
        <v>929</v>
      </c>
      <c r="DD79" s="595" t="s">
        <v>930</v>
      </c>
      <c r="DE79" s="595" t="s">
        <v>690</v>
      </c>
      <c r="DF79" s="286">
        <v>15720</v>
      </c>
      <c r="DG79" s="286">
        <v>1517280</v>
      </c>
      <c r="DH79" s="286">
        <v>71167149</v>
      </c>
      <c r="DI79" s="286">
        <v>38511539</v>
      </c>
      <c r="DJ79">
        <v>7</v>
      </c>
      <c r="DK79" s="643">
        <f t="shared" si="74"/>
        <v>1047.1475692534934</v>
      </c>
      <c r="DL79" s="408">
        <f t="shared" si="75"/>
        <v>1588816063.8769405</v>
      </c>
      <c r="DM79" s="286"/>
      <c r="DN79" s="286"/>
      <c r="EC79" s="598" t="s">
        <v>1794</v>
      </c>
      <c r="ED79" s="296"/>
      <c r="EE79" s="478"/>
      <c r="EF79" s="296"/>
      <c r="EG79" s="477"/>
      <c r="EH79" s="594"/>
      <c r="EI79" s="286"/>
      <c r="EJ79" s="472"/>
      <c r="EK79" s="472"/>
      <c r="EL79" s="596"/>
      <c r="EM79" s="453"/>
      <c r="EN79" s="453"/>
      <c r="EO79" s="453"/>
      <c r="EP79" s="453"/>
      <c r="EQ79" s="453"/>
      <c r="ER79" s="453"/>
      <c r="ES79" s="453"/>
      <c r="ET79" s="453"/>
      <c r="EU79" s="453"/>
      <c r="EV79" s="453"/>
      <c r="EW79" s="453"/>
      <c r="FH79">
        <v>14</v>
      </c>
      <c r="FI79" t="s">
        <v>1016</v>
      </c>
      <c r="FJ79" t="s">
        <v>1017</v>
      </c>
      <c r="FK79" t="s">
        <v>697</v>
      </c>
      <c r="FL79" s="286">
        <v>100818</v>
      </c>
      <c r="FM79" s="286">
        <v>11441814</v>
      </c>
      <c r="FN79" s="286">
        <v>121549667</v>
      </c>
      <c r="FO79" s="286">
        <v>44546182</v>
      </c>
      <c r="FP79">
        <v>12</v>
      </c>
      <c r="FQ79" s="925">
        <v>12.148631154247422</v>
      </c>
      <c r="FR79" s="926">
        <v>139002378.02150431</v>
      </c>
      <c r="FS79">
        <v>1</v>
      </c>
      <c r="FU79" s="2"/>
    </row>
    <row r="80" spans="1:177" ht="16" customHeight="1">
      <c r="A80">
        <v>2018</v>
      </c>
      <c r="B80">
        <v>3410</v>
      </c>
      <c r="C80" t="s">
        <v>253</v>
      </c>
      <c r="D80" t="s">
        <v>245</v>
      </c>
      <c r="E80" s="203">
        <v>93</v>
      </c>
      <c r="F80" s="203" t="s">
        <v>250</v>
      </c>
      <c r="G80" s="203" t="s">
        <v>247</v>
      </c>
      <c r="H80" s="203" t="s">
        <v>248</v>
      </c>
      <c r="I80" s="202">
        <v>0</v>
      </c>
      <c r="J80" s="202">
        <v>0</v>
      </c>
      <c r="K80" s="202">
        <v>0</v>
      </c>
      <c r="L80" s="253"/>
      <c r="M80" s="254">
        <v>2019</v>
      </c>
      <c r="N80" s="254">
        <v>3410</v>
      </c>
      <c r="O80" s="255" t="s">
        <v>253</v>
      </c>
      <c r="P80" s="254">
        <v>410</v>
      </c>
      <c r="Q80" s="254">
        <v>226</v>
      </c>
      <c r="R80" s="255" t="s">
        <v>36</v>
      </c>
      <c r="S80" s="255" t="s">
        <v>137</v>
      </c>
      <c r="T80" s="350">
        <v>0</v>
      </c>
      <c r="U80" s="350">
        <v>0</v>
      </c>
      <c r="V80" s="350">
        <v>14202000</v>
      </c>
      <c r="W80" s="350">
        <v>0</v>
      </c>
      <c r="X80" s="350">
        <v>14202000</v>
      </c>
      <c r="AA80" s="272">
        <v>2019</v>
      </c>
      <c r="AB80" s="272">
        <v>2670</v>
      </c>
      <c r="AC80" s="273" t="s">
        <v>257</v>
      </c>
      <c r="AD80" s="272" t="s">
        <v>489</v>
      </c>
      <c r="AE80" s="272">
        <v>43</v>
      </c>
      <c r="AF80" s="274" t="s">
        <v>394</v>
      </c>
      <c r="AG80" s="272">
        <v>4507</v>
      </c>
      <c r="AH80" s="272">
        <v>0</v>
      </c>
      <c r="AI80" s="272">
        <v>4133</v>
      </c>
      <c r="AJ80" s="272">
        <v>0</v>
      </c>
      <c r="AK80" s="272">
        <v>455162</v>
      </c>
      <c r="AL80" s="352">
        <v>110.12872005806921</v>
      </c>
      <c r="AX80" s="254">
        <v>2019</v>
      </c>
      <c r="AY80" s="254">
        <v>3410</v>
      </c>
      <c r="AZ80" s="255" t="s">
        <v>253</v>
      </c>
      <c r="BA80" s="254">
        <v>410</v>
      </c>
      <c r="BB80" s="254">
        <v>303</v>
      </c>
      <c r="BC80" s="255" t="s">
        <v>555</v>
      </c>
      <c r="BD80" s="255" t="s">
        <v>557</v>
      </c>
      <c r="BE80" s="350">
        <v>0</v>
      </c>
      <c r="BF80" s="350">
        <v>0</v>
      </c>
      <c r="BG80" s="350">
        <v>0</v>
      </c>
      <c r="BH80" s="350">
        <v>0</v>
      </c>
      <c r="BI80" s="350">
        <v>0</v>
      </c>
      <c r="BK80" s="272">
        <v>2019</v>
      </c>
      <c r="BL80" s="272">
        <v>3050</v>
      </c>
      <c r="BM80" s="273" t="s">
        <v>254</v>
      </c>
      <c r="BN80" s="272" t="s">
        <v>588</v>
      </c>
      <c r="BO80" s="272">
        <v>70</v>
      </c>
      <c r="BP80" s="441" t="s">
        <v>600</v>
      </c>
      <c r="BQ80" s="272">
        <v>0</v>
      </c>
      <c r="BR80" s="272">
        <v>384</v>
      </c>
      <c r="BS80" s="272">
        <v>0</v>
      </c>
      <c r="BT80" s="272">
        <v>384</v>
      </c>
      <c r="BU80" s="272">
        <v>17452</v>
      </c>
      <c r="BV80" s="272">
        <v>0</v>
      </c>
      <c r="BZ80" s="470" t="s">
        <v>799</v>
      </c>
      <c r="CA80" s="470"/>
      <c r="CM80" s="299">
        <v>2019</v>
      </c>
      <c r="CN80" s="299">
        <v>1370</v>
      </c>
      <c r="CO80" s="300" t="s">
        <v>255</v>
      </c>
      <c r="CP80" s="299">
        <v>755</v>
      </c>
      <c r="CQ80" s="299">
        <v>47</v>
      </c>
      <c r="CR80" s="294" t="s">
        <v>385</v>
      </c>
      <c r="CS80" s="294" t="s">
        <v>407</v>
      </c>
      <c r="CT80" s="294" t="s">
        <v>387</v>
      </c>
      <c r="CU80" s="301">
        <v>0</v>
      </c>
      <c r="DB80">
        <f t="shared" si="72"/>
        <v>20</v>
      </c>
      <c r="DC80" s="595" t="s">
        <v>931</v>
      </c>
      <c r="DD80" s="595" t="s">
        <v>932</v>
      </c>
      <c r="DE80" s="595" t="s">
        <v>690</v>
      </c>
      <c r="DF80" s="286">
        <v>1480</v>
      </c>
      <c r="DG80" s="286">
        <v>140520</v>
      </c>
      <c r="DH80" s="286">
        <v>5211600</v>
      </c>
      <c r="DI80" s="286">
        <v>2223927</v>
      </c>
      <c r="DJ80">
        <v>7</v>
      </c>
      <c r="DK80" s="643">
        <f t="shared" si="74"/>
        <v>1047.1475692534934</v>
      </c>
      <c r="DL80" s="408">
        <f t="shared" si="75"/>
        <v>147145176.43150088</v>
      </c>
      <c r="DM80" s="286"/>
      <c r="DN80" s="286"/>
      <c r="EC80" s="289" t="s">
        <v>690</v>
      </c>
      <c r="ED80" s="296">
        <v>4481530</v>
      </c>
      <c r="EE80" s="478">
        <v>1</v>
      </c>
      <c r="EF80" s="296">
        <v>4481530</v>
      </c>
      <c r="EG80" s="477">
        <v>2.0135584440475895</v>
      </c>
      <c r="EH80" s="594">
        <v>4542292.5737525942</v>
      </c>
      <c r="EI80" s="286">
        <v>9023822.5737525932</v>
      </c>
      <c r="EJ80" s="472">
        <f>EF80/EI80</f>
        <v>0.49663321318343889</v>
      </c>
      <c r="EK80" s="472">
        <f>1-EJ80</f>
        <v>0.50336678681656111</v>
      </c>
      <c r="EL80" s="596">
        <v>1</v>
      </c>
      <c r="EM80" s="453">
        <v>36.916666666666664</v>
      </c>
      <c r="EN80" s="453">
        <v>88</v>
      </c>
      <c r="EO80" s="453">
        <v>59.916666666666664</v>
      </c>
      <c r="EP80" s="453">
        <v>15</v>
      </c>
      <c r="EQ80" s="453">
        <v>60</v>
      </c>
      <c r="ER80" s="453">
        <v>31.25</v>
      </c>
      <c r="ES80" s="453">
        <v>50</v>
      </c>
      <c r="ET80" s="453">
        <v>207.65</v>
      </c>
      <c r="EU80" s="453">
        <v>110.7</v>
      </c>
      <c r="EV80" s="453">
        <v>99.47881884088693</v>
      </c>
      <c r="EW80" s="453"/>
      <c r="FH80">
        <v>11</v>
      </c>
      <c r="FI80" t="s">
        <v>1077</v>
      </c>
      <c r="FJ80" t="s">
        <v>1078</v>
      </c>
      <c r="FK80" t="s">
        <v>697</v>
      </c>
      <c r="FL80" s="286">
        <v>2705188</v>
      </c>
      <c r="FM80" s="286">
        <v>320651931.00000006</v>
      </c>
      <c r="FN80" s="286">
        <v>5602720049.000001</v>
      </c>
      <c r="FO80" s="286">
        <v>3684478639</v>
      </c>
      <c r="FP80">
        <v>15</v>
      </c>
      <c r="FQ80" s="925">
        <v>43.273741284778055</v>
      </c>
      <c r="FR80" s="926">
        <v>13875808704.558506</v>
      </c>
      <c r="FS80">
        <v>1</v>
      </c>
      <c r="FU80" s="2"/>
    </row>
    <row r="81" spans="1:178" ht="16" customHeight="1">
      <c r="A81">
        <v>2018</v>
      </c>
      <c r="B81">
        <v>3410</v>
      </c>
      <c r="C81" t="s">
        <v>253</v>
      </c>
      <c r="D81" t="s">
        <v>245</v>
      </c>
      <c r="E81" s="203">
        <v>94</v>
      </c>
      <c r="F81" s="203" t="s">
        <v>250</v>
      </c>
      <c r="G81" s="203" t="s">
        <v>247</v>
      </c>
      <c r="H81" s="204" t="s">
        <v>249</v>
      </c>
      <c r="I81" s="202">
        <v>0</v>
      </c>
      <c r="J81" s="202">
        <v>0</v>
      </c>
      <c r="K81" s="202">
        <v>0</v>
      </c>
      <c r="L81" s="253"/>
      <c r="M81" s="254">
        <v>2019</v>
      </c>
      <c r="N81" s="254">
        <v>3410</v>
      </c>
      <c r="O81" s="255" t="s">
        <v>253</v>
      </c>
      <c r="P81" s="254">
        <v>410</v>
      </c>
      <c r="Q81" s="254">
        <v>227</v>
      </c>
      <c r="R81" s="255" t="s">
        <v>36</v>
      </c>
      <c r="S81" s="255" t="s">
        <v>138</v>
      </c>
      <c r="T81" s="350">
        <v>0</v>
      </c>
      <c r="U81" s="350">
        <v>0</v>
      </c>
      <c r="V81" s="350">
        <v>0</v>
      </c>
      <c r="W81" s="350">
        <v>0</v>
      </c>
      <c r="X81" s="350">
        <v>0</v>
      </c>
      <c r="AA81" s="272">
        <v>2019</v>
      </c>
      <c r="AB81" s="272">
        <v>2670</v>
      </c>
      <c r="AC81" s="273" t="s">
        <v>257</v>
      </c>
      <c r="AD81" s="272" t="s">
        <v>489</v>
      </c>
      <c r="AE81" s="272">
        <v>44</v>
      </c>
      <c r="AF81" s="274" t="s">
        <v>395</v>
      </c>
      <c r="AG81" s="272">
        <v>16</v>
      </c>
      <c r="AH81" s="272">
        <v>0</v>
      </c>
      <c r="AI81" s="272">
        <v>13</v>
      </c>
      <c r="AJ81" s="272">
        <v>0</v>
      </c>
      <c r="AK81" s="272">
        <v>1065</v>
      </c>
      <c r="AL81" s="352">
        <v>81.92307692307692</v>
      </c>
      <c r="AX81" s="254">
        <v>2019</v>
      </c>
      <c r="AY81" s="254">
        <v>3410</v>
      </c>
      <c r="AZ81" s="255" t="s">
        <v>253</v>
      </c>
      <c r="BA81" s="254">
        <v>410</v>
      </c>
      <c r="BB81" s="254">
        <v>304</v>
      </c>
      <c r="BC81" s="255" t="s">
        <v>555</v>
      </c>
      <c r="BD81" s="255" t="s">
        <v>558</v>
      </c>
      <c r="BE81" s="350">
        <v>0</v>
      </c>
      <c r="BF81" s="350">
        <v>0</v>
      </c>
      <c r="BG81" s="350">
        <v>0</v>
      </c>
      <c r="BH81" s="350">
        <v>0</v>
      </c>
      <c r="BI81" s="350">
        <v>0</v>
      </c>
      <c r="BK81" s="272">
        <v>2019</v>
      </c>
      <c r="BL81" s="272">
        <v>3410</v>
      </c>
      <c r="BM81" s="273" t="s">
        <v>253</v>
      </c>
      <c r="BN81" s="272" t="s">
        <v>588</v>
      </c>
      <c r="BO81" s="272">
        <v>59</v>
      </c>
      <c r="BP81" s="441" t="s">
        <v>589</v>
      </c>
      <c r="BQ81" s="272">
        <v>153</v>
      </c>
      <c r="BR81" s="272">
        <v>0</v>
      </c>
      <c r="BS81" s="272">
        <v>451</v>
      </c>
      <c r="BT81" s="272">
        <v>0</v>
      </c>
      <c r="BU81" s="272">
        <v>0</v>
      </c>
      <c r="BV81" s="272">
        <v>0</v>
      </c>
      <c r="CM81" s="299">
        <v>2019</v>
      </c>
      <c r="CN81" s="299">
        <v>1370</v>
      </c>
      <c r="CO81" s="300" t="s">
        <v>255</v>
      </c>
      <c r="CP81" s="299">
        <v>755</v>
      </c>
      <c r="CQ81" s="299">
        <v>48</v>
      </c>
      <c r="CR81" s="294" t="s">
        <v>385</v>
      </c>
      <c r="CS81" s="294" t="s">
        <v>407</v>
      </c>
      <c r="CT81" s="294" t="s">
        <v>388</v>
      </c>
      <c r="CU81" s="301">
        <v>959000</v>
      </c>
      <c r="DB81">
        <f t="shared" si="72"/>
        <v>20</v>
      </c>
      <c r="DC81" s="595" t="s">
        <v>814</v>
      </c>
      <c r="DD81" s="595" t="s">
        <v>815</v>
      </c>
      <c r="DE81" s="595" t="s">
        <v>687</v>
      </c>
      <c r="DF81" s="286">
        <v>1880</v>
      </c>
      <c r="DG81" s="286">
        <v>145079.99999999997</v>
      </c>
      <c r="DH81" s="286">
        <v>12818920</v>
      </c>
      <c r="DI81" s="286">
        <v>8739931.9999999981</v>
      </c>
      <c r="DJ81">
        <v>7</v>
      </c>
      <c r="DK81" s="643">
        <f t="shared" si="74"/>
        <v>1047.1475692534934</v>
      </c>
      <c r="DL81" s="408">
        <f t="shared" si="75"/>
        <v>151920169.3472968</v>
      </c>
      <c r="DM81" s="286"/>
      <c r="DN81" s="286"/>
      <c r="EC81" s="289"/>
      <c r="ED81" s="296"/>
      <c r="EE81" s="478"/>
      <c r="EF81" s="296"/>
      <c r="EG81" s="477"/>
      <c r="EH81" s="594"/>
      <c r="EI81" s="286"/>
      <c r="EJ81" s="472"/>
      <c r="EK81" s="472"/>
      <c r="EL81" s="596"/>
      <c r="EM81" s="453"/>
      <c r="EN81" s="453"/>
      <c r="EO81" s="453"/>
      <c r="EP81" s="453"/>
      <c r="EQ81" s="453"/>
      <c r="ER81" s="453"/>
      <c r="ES81" s="453"/>
      <c r="ET81" s="453"/>
      <c r="EU81" s="453"/>
      <c r="EV81" s="453"/>
      <c r="EW81" s="453"/>
      <c r="FH81">
        <v>14</v>
      </c>
      <c r="FI81" t="s">
        <v>1016</v>
      </c>
      <c r="FJ81" t="s">
        <v>1017</v>
      </c>
      <c r="FK81" t="s">
        <v>698</v>
      </c>
      <c r="FL81" s="286">
        <v>327216</v>
      </c>
      <c r="FM81" s="286">
        <v>33402990.000000004</v>
      </c>
      <c r="FN81" s="286">
        <v>333989899</v>
      </c>
      <c r="FO81" s="286">
        <v>173289210.00000003</v>
      </c>
      <c r="FP81">
        <v>12</v>
      </c>
      <c r="FQ81" s="925">
        <v>12.148631154247422</v>
      </c>
      <c r="FR81" s="926">
        <v>405800604.95901513</v>
      </c>
      <c r="FS81">
        <v>1</v>
      </c>
      <c r="FU81" s="2"/>
    </row>
    <row r="82" spans="1:178" ht="16" customHeight="1">
      <c r="A82">
        <v>2018</v>
      </c>
      <c r="B82">
        <v>3410</v>
      </c>
      <c r="C82" t="s">
        <v>253</v>
      </c>
      <c r="D82" t="s">
        <v>245</v>
      </c>
      <c r="E82" s="203">
        <v>97</v>
      </c>
      <c r="F82" s="203" t="s">
        <v>251</v>
      </c>
      <c r="G82" s="203" t="s">
        <v>247</v>
      </c>
      <c r="H82" s="203" t="s">
        <v>248</v>
      </c>
      <c r="I82" s="202">
        <v>0</v>
      </c>
      <c r="J82" s="202">
        <v>0</v>
      </c>
      <c r="K82" s="202">
        <v>0</v>
      </c>
      <c r="L82" s="253"/>
      <c r="M82" s="254">
        <v>2019</v>
      </c>
      <c r="N82" s="254">
        <v>3410</v>
      </c>
      <c r="O82" s="255" t="s">
        <v>253</v>
      </c>
      <c r="P82" s="254">
        <v>410</v>
      </c>
      <c r="Q82" s="254">
        <v>228</v>
      </c>
      <c r="R82" s="255" t="s">
        <v>36</v>
      </c>
      <c r="S82" s="255" t="s">
        <v>139</v>
      </c>
      <c r="T82" s="350">
        <v>0</v>
      </c>
      <c r="U82" s="350">
        <v>0</v>
      </c>
      <c r="V82" s="350">
        <v>0</v>
      </c>
      <c r="W82" s="350">
        <v>0</v>
      </c>
      <c r="X82" s="350">
        <v>0</v>
      </c>
      <c r="AA82" s="272">
        <v>2019</v>
      </c>
      <c r="AB82" s="272">
        <v>2670</v>
      </c>
      <c r="AC82" s="273" t="s">
        <v>257</v>
      </c>
      <c r="AD82" s="272" t="s">
        <v>489</v>
      </c>
      <c r="AE82" s="272">
        <v>45</v>
      </c>
      <c r="AF82" s="274" t="s">
        <v>396</v>
      </c>
      <c r="AG82" s="272">
        <v>43</v>
      </c>
      <c r="AH82" s="272">
        <v>0</v>
      </c>
      <c r="AI82" s="272">
        <v>42</v>
      </c>
      <c r="AJ82" s="272">
        <v>0</v>
      </c>
      <c r="AK82" s="272">
        <v>3100</v>
      </c>
      <c r="AL82" s="352">
        <v>73.80952380952381</v>
      </c>
      <c r="AX82" s="254">
        <v>2019</v>
      </c>
      <c r="AY82" s="254">
        <v>3410</v>
      </c>
      <c r="AZ82" s="255" t="s">
        <v>253</v>
      </c>
      <c r="BA82" s="254">
        <v>410</v>
      </c>
      <c r="BB82" s="254">
        <v>305</v>
      </c>
      <c r="BC82" s="255" t="s">
        <v>555</v>
      </c>
      <c r="BD82" s="255" t="s">
        <v>559</v>
      </c>
      <c r="BE82" s="350">
        <v>0</v>
      </c>
      <c r="BF82" s="350">
        <v>153000</v>
      </c>
      <c r="BG82" s="350">
        <v>0</v>
      </c>
      <c r="BH82" s="350">
        <v>0</v>
      </c>
      <c r="BI82" s="350">
        <v>153000</v>
      </c>
      <c r="BK82" s="272">
        <v>2019</v>
      </c>
      <c r="BL82" s="272">
        <v>3410</v>
      </c>
      <c r="BM82" s="273" t="s">
        <v>253</v>
      </c>
      <c r="BN82" s="272" t="s">
        <v>588</v>
      </c>
      <c r="BO82" s="272">
        <v>60</v>
      </c>
      <c r="BP82" s="441" t="s">
        <v>590</v>
      </c>
      <c r="BQ82" s="272">
        <v>0</v>
      </c>
      <c r="BR82" s="272">
        <v>0</v>
      </c>
      <c r="BS82" s="272">
        <v>0</v>
      </c>
      <c r="BT82" s="272">
        <v>0</v>
      </c>
      <c r="BU82" s="272">
        <v>0</v>
      </c>
      <c r="BV82" s="272">
        <v>0</v>
      </c>
      <c r="CM82" s="299">
        <v>2019</v>
      </c>
      <c r="CN82" s="299">
        <v>1370</v>
      </c>
      <c r="CO82" s="300" t="s">
        <v>255</v>
      </c>
      <c r="CP82" s="299">
        <v>755</v>
      </c>
      <c r="CQ82" s="299">
        <v>49</v>
      </c>
      <c r="CR82" s="294" t="s">
        <v>385</v>
      </c>
      <c r="CS82" s="294" t="s">
        <v>407</v>
      </c>
      <c r="CT82" s="294" t="s">
        <v>389</v>
      </c>
      <c r="CU82" s="301">
        <v>11700000</v>
      </c>
      <c r="DB82">
        <f t="shared" si="72"/>
        <v>20</v>
      </c>
      <c r="DC82" s="595" t="s">
        <v>816</v>
      </c>
      <c r="DD82" s="595" t="s">
        <v>817</v>
      </c>
      <c r="DE82" s="595" t="s">
        <v>687</v>
      </c>
      <c r="DF82" s="286">
        <v>15640</v>
      </c>
      <c r="DG82" s="286">
        <v>1230200</v>
      </c>
      <c r="DH82" s="286">
        <v>111507720</v>
      </c>
      <c r="DI82" s="286">
        <v>87433185</v>
      </c>
      <c r="DJ82">
        <v>7</v>
      </c>
      <c r="DK82" s="643">
        <f t="shared" si="74"/>
        <v>1047.1475692534934</v>
      </c>
      <c r="DL82" s="408">
        <f t="shared" si="75"/>
        <v>1288200939.6956477</v>
      </c>
      <c r="DM82" s="286"/>
      <c r="DN82" s="286"/>
      <c r="EC82" s="598" t="s">
        <v>1795</v>
      </c>
      <c r="ED82" s="296"/>
      <c r="EE82" s="478"/>
      <c r="EF82" s="296"/>
      <c r="EG82" s="477"/>
      <c r="EH82" s="594"/>
      <c r="EI82" s="286"/>
      <c r="EJ82" s="472"/>
      <c r="EK82" s="472"/>
      <c r="EL82" s="596"/>
      <c r="EM82" s="453"/>
      <c r="EN82" s="453"/>
      <c r="EO82" s="453"/>
      <c r="EP82" s="453"/>
      <c r="EQ82" s="453"/>
      <c r="ER82" s="453"/>
      <c r="ES82" s="453"/>
      <c r="ET82" s="453"/>
      <c r="EU82" s="453"/>
      <c r="EV82" s="453"/>
      <c r="EW82" s="453"/>
      <c r="FH82">
        <v>14</v>
      </c>
      <c r="FI82" t="s">
        <v>1075</v>
      </c>
      <c r="FJ82" t="s">
        <v>1076</v>
      </c>
      <c r="FK82" t="s">
        <v>698</v>
      </c>
      <c r="FL82" s="286">
        <v>18352</v>
      </c>
      <c r="FM82" s="286">
        <v>845260</v>
      </c>
      <c r="FN82" s="286">
        <v>17648048.000000004</v>
      </c>
      <c r="FO82" s="286">
        <v>9457862.0000000019</v>
      </c>
      <c r="FP82">
        <v>12</v>
      </c>
      <c r="FQ82" s="925">
        <v>12.148631154247422</v>
      </c>
      <c r="FR82" s="926">
        <v>10268751.969439175</v>
      </c>
      <c r="FS82">
        <v>1</v>
      </c>
      <c r="FU82" s="2"/>
    </row>
    <row r="83" spans="1:178" ht="16" customHeight="1">
      <c r="A83">
        <v>2018</v>
      </c>
      <c r="B83">
        <v>3410</v>
      </c>
      <c r="C83" t="s">
        <v>253</v>
      </c>
      <c r="D83" t="s">
        <v>245</v>
      </c>
      <c r="E83" s="203">
        <v>98</v>
      </c>
      <c r="F83" s="203" t="s">
        <v>251</v>
      </c>
      <c r="G83" s="203" t="s">
        <v>247</v>
      </c>
      <c r="H83" s="204" t="s">
        <v>249</v>
      </c>
      <c r="I83" s="202">
        <v>0</v>
      </c>
      <c r="J83" s="202">
        <v>0</v>
      </c>
      <c r="K83" s="202">
        <v>0</v>
      </c>
      <c r="L83" s="253"/>
      <c r="M83" s="254">
        <v>2019</v>
      </c>
      <c r="N83" s="254">
        <v>3410</v>
      </c>
      <c r="O83" s="255" t="s">
        <v>253</v>
      </c>
      <c r="P83" s="254">
        <v>410</v>
      </c>
      <c r="Q83" s="254">
        <v>229</v>
      </c>
      <c r="R83" s="255" t="s">
        <v>36</v>
      </c>
      <c r="S83" s="255" t="s">
        <v>140</v>
      </c>
      <c r="T83" s="350">
        <v>0</v>
      </c>
      <c r="U83" s="350">
        <v>0</v>
      </c>
      <c r="V83" s="350">
        <v>0</v>
      </c>
      <c r="W83" s="350">
        <v>0</v>
      </c>
      <c r="X83" s="350">
        <v>0</v>
      </c>
      <c r="AA83" s="272">
        <v>2019</v>
      </c>
      <c r="AB83" s="272">
        <v>2670</v>
      </c>
      <c r="AC83" s="273" t="s">
        <v>257</v>
      </c>
      <c r="AD83" s="272" t="s">
        <v>489</v>
      </c>
      <c r="AE83" s="272">
        <v>46</v>
      </c>
      <c r="AF83" s="274" t="s">
        <v>397</v>
      </c>
      <c r="AG83" s="272">
        <v>205</v>
      </c>
      <c r="AH83" s="272">
        <v>0</v>
      </c>
      <c r="AI83" s="272">
        <v>188</v>
      </c>
      <c r="AJ83" s="272">
        <v>0</v>
      </c>
      <c r="AK83" s="272">
        <v>45630</v>
      </c>
      <c r="AL83" s="352">
        <v>242.71276595744681</v>
      </c>
      <c r="AX83" s="254">
        <v>2019</v>
      </c>
      <c r="AY83" s="254">
        <v>3410</v>
      </c>
      <c r="AZ83" s="255" t="s">
        <v>253</v>
      </c>
      <c r="BA83" s="254">
        <v>410</v>
      </c>
      <c r="BB83" s="254">
        <v>306</v>
      </c>
      <c r="BC83" s="255" t="s">
        <v>555</v>
      </c>
      <c r="BD83" s="255" t="s">
        <v>560</v>
      </c>
      <c r="BE83" s="350">
        <v>0</v>
      </c>
      <c r="BF83" s="350">
        <v>0</v>
      </c>
      <c r="BG83" s="350">
        <v>0</v>
      </c>
      <c r="BH83" s="350">
        <v>0</v>
      </c>
      <c r="BI83" s="350">
        <v>0</v>
      </c>
      <c r="BK83" s="272">
        <v>2019</v>
      </c>
      <c r="BL83" s="272">
        <v>3410</v>
      </c>
      <c r="BM83" s="273" t="s">
        <v>253</v>
      </c>
      <c r="BN83" s="272" t="s">
        <v>588</v>
      </c>
      <c r="BO83" s="272">
        <v>61</v>
      </c>
      <c r="BP83" s="441" t="s">
        <v>591</v>
      </c>
      <c r="BQ83" s="272">
        <v>0</v>
      </c>
      <c r="BR83" s="272">
        <v>0</v>
      </c>
      <c r="BS83" s="272">
        <v>0</v>
      </c>
      <c r="BT83" s="272">
        <v>0</v>
      </c>
      <c r="BU83" s="272">
        <v>0</v>
      </c>
      <c r="BV83" s="272">
        <v>0</v>
      </c>
      <c r="BY83" s="2" t="s">
        <v>1209</v>
      </c>
      <c r="CM83" s="299">
        <v>2019</v>
      </c>
      <c r="CN83" s="299">
        <v>1370</v>
      </c>
      <c r="CO83" s="300" t="s">
        <v>255</v>
      </c>
      <c r="CP83" s="299">
        <v>755</v>
      </c>
      <c r="CQ83" s="299">
        <v>50</v>
      </c>
      <c r="CR83" s="294" t="s">
        <v>385</v>
      </c>
      <c r="CS83" s="294" t="s">
        <v>407</v>
      </c>
      <c r="CT83" s="294" t="s">
        <v>390</v>
      </c>
      <c r="CU83" s="301">
        <v>8316000</v>
      </c>
      <c r="DB83">
        <f t="shared" si="72"/>
        <v>20</v>
      </c>
      <c r="DC83" s="595" t="s">
        <v>816</v>
      </c>
      <c r="DD83" s="595" t="s">
        <v>817</v>
      </c>
      <c r="DE83" s="595" t="s">
        <v>686</v>
      </c>
      <c r="DF83" s="286">
        <v>3000</v>
      </c>
      <c r="DG83" s="286">
        <v>217160</v>
      </c>
      <c r="DH83" s="286">
        <v>21148199.999999996</v>
      </c>
      <c r="DI83" s="286">
        <v>17437122</v>
      </c>
      <c r="DJ83">
        <v>7</v>
      </c>
      <c r="DK83" s="643">
        <f t="shared" si="74"/>
        <v>1047.1475692534934</v>
      </c>
      <c r="DL83" s="408">
        <f t="shared" si="75"/>
        <v>227398566.13908863</v>
      </c>
      <c r="DM83" s="286"/>
      <c r="DN83" s="286"/>
      <c r="EC83" s="289" t="s">
        <v>695</v>
      </c>
      <c r="ED83" s="296">
        <v>3479914</v>
      </c>
      <c r="EE83" s="478">
        <v>1</v>
      </c>
      <c r="EF83" s="296">
        <v>3479914</v>
      </c>
      <c r="EG83" s="477">
        <v>2.03277833409512</v>
      </c>
      <c r="EH83" s="594">
        <v>3593979.7837142856</v>
      </c>
      <c r="EI83" s="286">
        <v>7073893.7837142851</v>
      </c>
      <c r="EJ83" s="472">
        <f t="shared" ref="EJ83" si="93">EF83/EI83</f>
        <v>0.49193755326261113</v>
      </c>
      <c r="EK83" s="472">
        <f t="shared" ref="EK83" si="94">1-EJ83</f>
        <v>0.50806244673738887</v>
      </c>
      <c r="EL83" s="596">
        <v>1</v>
      </c>
      <c r="EM83" s="453">
        <v>32.833333333333336</v>
      </c>
      <c r="EN83" s="453">
        <v>81.833333333333329</v>
      </c>
      <c r="EO83" s="453">
        <v>59.333333333333336</v>
      </c>
      <c r="EP83" s="453">
        <v>15.6</v>
      </c>
      <c r="EQ83" s="453">
        <v>93.5</v>
      </c>
      <c r="ER83" s="453">
        <v>37.9</v>
      </c>
      <c r="ES83" s="453">
        <v>40</v>
      </c>
      <c r="ET83" s="453">
        <v>149.05000000000001</v>
      </c>
      <c r="EU83" s="453">
        <v>98.35</v>
      </c>
      <c r="EV83" s="453">
        <v>86.617876763621169</v>
      </c>
      <c r="EW83" s="453"/>
      <c r="FH83">
        <v>11</v>
      </c>
      <c r="FI83" t="s">
        <v>1077</v>
      </c>
      <c r="FJ83" t="s">
        <v>1078</v>
      </c>
      <c r="FK83" t="s">
        <v>698</v>
      </c>
      <c r="FL83" s="286">
        <v>1745226</v>
      </c>
      <c r="FM83" s="286">
        <v>203173169.99999997</v>
      </c>
      <c r="FN83" s="286">
        <v>2906974131</v>
      </c>
      <c r="FO83" s="286">
        <v>2036890130</v>
      </c>
      <c r="FP83">
        <v>15</v>
      </c>
      <c r="FQ83" s="925">
        <v>43.273741284778055</v>
      </c>
      <c r="FR83" s="926">
        <v>8792063194.5882282</v>
      </c>
      <c r="FS83">
        <v>1</v>
      </c>
      <c r="FU83" s="2"/>
    </row>
    <row r="84" spans="1:178" ht="16" customHeight="1">
      <c r="A84">
        <v>2018</v>
      </c>
      <c r="B84">
        <v>3050</v>
      </c>
      <c r="C84" t="s">
        <v>254</v>
      </c>
      <c r="D84" t="s">
        <v>245</v>
      </c>
      <c r="E84" s="203">
        <v>91</v>
      </c>
      <c r="F84" s="203" t="s">
        <v>246</v>
      </c>
      <c r="G84" s="203" t="s">
        <v>247</v>
      </c>
      <c r="H84" s="203" t="s">
        <v>248</v>
      </c>
      <c r="I84" s="202">
        <v>0</v>
      </c>
      <c r="J84" s="202">
        <v>0</v>
      </c>
      <c r="K84" s="202">
        <v>0</v>
      </c>
      <c r="L84" s="253"/>
      <c r="M84" s="254">
        <v>2019</v>
      </c>
      <c r="N84" s="254">
        <v>3410</v>
      </c>
      <c r="O84" s="255" t="s">
        <v>253</v>
      </c>
      <c r="P84" s="254">
        <v>410</v>
      </c>
      <c r="Q84" s="254">
        <v>230</v>
      </c>
      <c r="R84" s="255" t="s">
        <v>36</v>
      </c>
      <c r="S84" s="255" t="s">
        <v>141</v>
      </c>
      <c r="T84" s="350">
        <v>0</v>
      </c>
      <c r="U84" s="350">
        <v>0</v>
      </c>
      <c r="V84" s="350">
        <v>62773000</v>
      </c>
      <c r="W84" s="350">
        <v>0</v>
      </c>
      <c r="X84" s="350">
        <v>62773000</v>
      </c>
      <c r="AA84" s="272">
        <v>2019</v>
      </c>
      <c r="AB84" s="272">
        <v>2670</v>
      </c>
      <c r="AC84" s="273" t="s">
        <v>257</v>
      </c>
      <c r="AD84" s="272" t="s">
        <v>489</v>
      </c>
      <c r="AE84" s="272">
        <v>47</v>
      </c>
      <c r="AF84" s="274" t="s">
        <v>398</v>
      </c>
      <c r="AG84" s="272">
        <v>11476</v>
      </c>
      <c r="AH84" s="272">
        <v>0</v>
      </c>
      <c r="AI84" s="272">
        <v>11172</v>
      </c>
      <c r="AJ84" s="272">
        <v>0</v>
      </c>
      <c r="AK84" s="272">
        <v>425011</v>
      </c>
      <c r="AL84" s="352">
        <v>38.042517006802719</v>
      </c>
      <c r="AX84" s="254">
        <v>2019</v>
      </c>
      <c r="AY84" s="254">
        <v>3410</v>
      </c>
      <c r="AZ84" s="255" t="s">
        <v>253</v>
      </c>
      <c r="BA84" s="254">
        <v>410</v>
      </c>
      <c r="BB84" s="254">
        <v>307</v>
      </c>
      <c r="BC84" s="255" t="s">
        <v>555</v>
      </c>
      <c r="BD84" s="255" t="s">
        <v>561</v>
      </c>
      <c r="BE84" s="350">
        <v>0</v>
      </c>
      <c r="BF84" s="350">
        <v>802000</v>
      </c>
      <c r="BG84" s="350">
        <v>6399000</v>
      </c>
      <c r="BH84" s="350">
        <v>0</v>
      </c>
      <c r="BI84" s="350">
        <v>7201000</v>
      </c>
      <c r="BK84" s="272">
        <v>2019</v>
      </c>
      <c r="BL84" s="272">
        <v>3410</v>
      </c>
      <c r="BM84" s="273" t="s">
        <v>253</v>
      </c>
      <c r="BN84" s="272" t="s">
        <v>588</v>
      </c>
      <c r="BO84" s="272">
        <v>62</v>
      </c>
      <c r="BP84" s="441" t="s">
        <v>592</v>
      </c>
      <c r="BQ84" s="272">
        <v>0</v>
      </c>
      <c r="BR84" s="272">
        <v>0</v>
      </c>
      <c r="BS84" s="272">
        <v>0</v>
      </c>
      <c r="BT84" s="272">
        <v>0</v>
      </c>
      <c r="BU84" s="272">
        <v>0</v>
      </c>
      <c r="BV84" s="272">
        <v>0</v>
      </c>
      <c r="BY84" s="170"/>
      <c r="BZ84" s="4"/>
      <c r="CA84" s="4"/>
      <c r="CB84" s="481"/>
      <c r="CC84" s="1055" t="s">
        <v>792</v>
      </c>
      <c r="CD84" s="1056"/>
      <c r="CE84" s="1056"/>
      <c r="CF84" s="1057"/>
      <c r="CM84" s="299">
        <v>2019</v>
      </c>
      <c r="CN84" s="299">
        <v>1370</v>
      </c>
      <c r="CO84" s="300" t="s">
        <v>255</v>
      </c>
      <c r="CP84" s="299">
        <v>755</v>
      </c>
      <c r="CQ84" s="299">
        <v>51</v>
      </c>
      <c r="CR84" s="294" t="s">
        <v>385</v>
      </c>
      <c r="CS84" s="294" t="s">
        <v>407</v>
      </c>
      <c r="CT84" s="294" t="s">
        <v>391</v>
      </c>
      <c r="CU84" s="301">
        <v>7114000</v>
      </c>
      <c r="DB84">
        <f t="shared" si="72"/>
        <v>20</v>
      </c>
      <c r="DC84" s="595" t="s">
        <v>933</v>
      </c>
      <c r="DD84" s="595" t="s">
        <v>934</v>
      </c>
      <c r="DE84" s="595" t="s">
        <v>690</v>
      </c>
      <c r="DF84" s="286">
        <v>1400</v>
      </c>
      <c r="DG84" s="286">
        <v>115160</v>
      </c>
      <c r="DH84" s="286">
        <v>11093836</v>
      </c>
      <c r="DI84" s="286">
        <v>4565793</v>
      </c>
      <c r="DJ84">
        <v>7</v>
      </c>
      <c r="DK84" s="643">
        <f t="shared" si="74"/>
        <v>1047.1475692534934</v>
      </c>
      <c r="DL84" s="408">
        <f t="shared" si="75"/>
        <v>120589514.0752323</v>
      </c>
      <c r="DM84" s="286"/>
      <c r="DN84" s="286"/>
      <c r="EC84" s="289"/>
      <c r="ED84" s="296"/>
      <c r="EE84" s="478"/>
      <c r="EF84" s="296"/>
      <c r="EG84" s="477"/>
      <c r="EH84" s="594"/>
      <c r="EI84" s="286"/>
      <c r="EJ84" s="472"/>
      <c r="EK84" s="472"/>
      <c r="EL84" s="596"/>
      <c r="EM84" s="453"/>
      <c r="EN84" s="453"/>
      <c r="EO84" s="453"/>
      <c r="EP84" s="453"/>
      <c r="EQ84" s="453"/>
      <c r="ER84" s="453"/>
      <c r="ES84" s="453"/>
      <c r="ET84" s="453"/>
      <c r="EU84" s="453"/>
      <c r="EV84" s="453"/>
      <c r="EW84" s="453"/>
      <c r="FH84">
        <v>40</v>
      </c>
      <c r="FI84" t="s">
        <v>1036</v>
      </c>
      <c r="FJ84" t="s">
        <v>1037</v>
      </c>
      <c r="FK84" t="s">
        <v>701</v>
      </c>
      <c r="FL84" s="286">
        <v>10072</v>
      </c>
      <c r="FM84" s="286">
        <v>1051212</v>
      </c>
      <c r="FN84" s="286">
        <v>22975108</v>
      </c>
      <c r="FO84" s="286">
        <v>15586631</v>
      </c>
      <c r="FP84">
        <v>41</v>
      </c>
      <c r="FQ84" s="925">
        <v>143.17663014662168</v>
      </c>
      <c r="FR84" s="926">
        <v>150508991.72969046</v>
      </c>
      <c r="FS84">
        <v>1</v>
      </c>
      <c r="FU84" s="2"/>
    </row>
    <row r="85" spans="1:178" ht="16" customHeight="1">
      <c r="A85">
        <v>2018</v>
      </c>
      <c r="B85">
        <v>3050</v>
      </c>
      <c r="C85" t="s">
        <v>254</v>
      </c>
      <c r="D85" t="s">
        <v>245</v>
      </c>
      <c r="E85" s="203">
        <v>92</v>
      </c>
      <c r="F85" s="203" t="s">
        <v>246</v>
      </c>
      <c r="G85" s="203" t="s">
        <v>247</v>
      </c>
      <c r="H85" s="204" t="s">
        <v>249</v>
      </c>
      <c r="I85" s="202">
        <v>0</v>
      </c>
      <c r="J85" s="202">
        <v>0</v>
      </c>
      <c r="K85" s="202">
        <v>0</v>
      </c>
      <c r="L85" s="253"/>
      <c r="M85" s="254">
        <v>2019</v>
      </c>
      <c r="N85" s="254">
        <v>3410</v>
      </c>
      <c r="O85" s="255" t="s">
        <v>253</v>
      </c>
      <c r="P85" s="254">
        <v>410</v>
      </c>
      <c r="Q85" s="254">
        <v>231</v>
      </c>
      <c r="R85" s="255" t="s">
        <v>36</v>
      </c>
      <c r="S85" s="255" t="s">
        <v>142</v>
      </c>
      <c r="T85" s="350">
        <v>0</v>
      </c>
      <c r="U85" s="350">
        <v>0</v>
      </c>
      <c r="V85" s="350">
        <v>-53602000</v>
      </c>
      <c r="W85" s="350">
        <v>0</v>
      </c>
      <c r="X85" s="350">
        <v>-53602000</v>
      </c>
      <c r="AA85" s="272">
        <v>2019</v>
      </c>
      <c r="AB85" s="272">
        <v>2670</v>
      </c>
      <c r="AC85" s="273" t="s">
        <v>257</v>
      </c>
      <c r="AD85" s="272" t="s">
        <v>489</v>
      </c>
      <c r="AE85" s="272">
        <v>48</v>
      </c>
      <c r="AF85" s="274" t="s">
        <v>399</v>
      </c>
      <c r="AG85" s="272">
        <v>1</v>
      </c>
      <c r="AH85" s="272">
        <v>0</v>
      </c>
      <c r="AI85" s="272">
        <v>1</v>
      </c>
      <c r="AJ85" s="272">
        <v>0</v>
      </c>
      <c r="AK85" s="272">
        <v>79</v>
      </c>
      <c r="AL85" s="352">
        <v>79</v>
      </c>
      <c r="AX85" s="254">
        <v>2019</v>
      </c>
      <c r="AY85" s="254">
        <v>3410</v>
      </c>
      <c r="AZ85" s="255" t="s">
        <v>253</v>
      </c>
      <c r="BA85" s="254">
        <v>410</v>
      </c>
      <c r="BB85" s="254">
        <v>308</v>
      </c>
      <c r="BC85" s="255" t="s">
        <v>555</v>
      </c>
      <c r="BD85" s="255" t="s">
        <v>560</v>
      </c>
      <c r="BE85" s="350">
        <v>0</v>
      </c>
      <c r="BF85" s="350">
        <v>0</v>
      </c>
      <c r="BG85" s="350">
        <v>0</v>
      </c>
      <c r="BH85" s="350">
        <v>0</v>
      </c>
      <c r="BI85" s="350">
        <v>0</v>
      </c>
      <c r="BK85" s="272">
        <v>2019</v>
      </c>
      <c r="BL85" s="272">
        <v>3410</v>
      </c>
      <c r="BM85" s="273" t="s">
        <v>253</v>
      </c>
      <c r="BN85" s="272" t="s">
        <v>588</v>
      </c>
      <c r="BO85" s="272">
        <v>63</v>
      </c>
      <c r="BP85" s="441" t="s">
        <v>593</v>
      </c>
      <c r="BQ85" s="272">
        <v>0</v>
      </c>
      <c r="BR85" s="272">
        <v>0</v>
      </c>
      <c r="BS85" s="272">
        <v>0</v>
      </c>
      <c r="BT85" s="272">
        <v>0</v>
      </c>
      <c r="BU85" s="272">
        <v>0</v>
      </c>
      <c r="BV85" s="272">
        <v>0</v>
      </c>
      <c r="BY85" s="578" t="s">
        <v>797</v>
      </c>
      <c r="BZ85" s="579" t="s">
        <v>798</v>
      </c>
      <c r="CA85" s="482"/>
      <c r="CB85" s="483"/>
      <c r="CC85" s="576" t="s">
        <v>793</v>
      </c>
      <c r="CD85" s="577" t="s">
        <v>794</v>
      </c>
      <c r="CE85" s="577" t="s">
        <v>795</v>
      </c>
      <c r="CF85" s="577" t="s">
        <v>796</v>
      </c>
      <c r="CG85" s="622" t="s">
        <v>1628</v>
      </c>
      <c r="CM85" s="299">
        <v>2019</v>
      </c>
      <c r="CN85" s="299">
        <v>1370</v>
      </c>
      <c r="CO85" s="300" t="s">
        <v>255</v>
      </c>
      <c r="CP85" s="299">
        <v>755</v>
      </c>
      <c r="CQ85" s="299">
        <v>52</v>
      </c>
      <c r="CR85" s="294" t="s">
        <v>385</v>
      </c>
      <c r="CS85" s="294" t="s">
        <v>407</v>
      </c>
      <c r="CT85" s="294" t="s">
        <v>392</v>
      </c>
      <c r="CU85" s="301">
        <v>166475000</v>
      </c>
      <c r="DB85">
        <f t="shared" si="72"/>
        <v>20</v>
      </c>
      <c r="DC85" s="595" t="s">
        <v>1085</v>
      </c>
      <c r="DD85" s="595" t="s">
        <v>1086</v>
      </c>
      <c r="DE85" s="595" t="s">
        <v>692</v>
      </c>
      <c r="DF85" s="286">
        <v>23720</v>
      </c>
      <c r="DG85" s="286">
        <v>1541640</v>
      </c>
      <c r="DH85" s="286">
        <v>210342013</v>
      </c>
      <c r="DI85" s="286">
        <v>144858890</v>
      </c>
      <c r="DJ85">
        <v>7</v>
      </c>
      <c r="DK85" s="643">
        <f t="shared" si="74"/>
        <v>1047.1475692534934</v>
      </c>
      <c r="DL85" s="408">
        <f t="shared" si="75"/>
        <v>1614324578.6639557</v>
      </c>
      <c r="DM85" s="286"/>
      <c r="DN85" s="286"/>
      <c r="EC85" s="598" t="s">
        <v>1796</v>
      </c>
      <c r="ED85" s="296"/>
      <c r="EE85" s="478"/>
      <c r="EF85" s="296"/>
      <c r="EG85" s="477"/>
      <c r="EH85" s="594"/>
      <c r="EI85" s="286"/>
      <c r="EJ85" s="472"/>
      <c r="EK85" s="472"/>
      <c r="EL85" s="596"/>
      <c r="EM85" s="453"/>
      <c r="EN85" s="453"/>
      <c r="EO85" s="453"/>
      <c r="EP85" s="453"/>
      <c r="EQ85" s="453"/>
      <c r="ER85" s="453"/>
      <c r="ES85" s="453"/>
      <c r="ET85" s="453"/>
      <c r="EU85" s="453"/>
      <c r="EV85" s="453"/>
      <c r="EW85" s="453"/>
      <c r="FH85">
        <v>14</v>
      </c>
      <c r="FI85" t="s">
        <v>1016</v>
      </c>
      <c r="FJ85" t="s">
        <v>1017</v>
      </c>
      <c r="FK85" t="s">
        <v>696</v>
      </c>
      <c r="FL85" s="286">
        <v>5906</v>
      </c>
      <c r="FM85" s="286">
        <v>561749</v>
      </c>
      <c r="FN85" s="286">
        <v>6250546</v>
      </c>
      <c r="FO85" s="286">
        <v>1983155</v>
      </c>
      <c r="FP85">
        <v>12</v>
      </c>
      <c r="FQ85" s="925">
        <v>12.148631154247422</v>
      </c>
      <c r="FR85" s="926">
        <v>6824481.402267335</v>
      </c>
      <c r="FS85">
        <v>1</v>
      </c>
      <c r="FU85" s="2"/>
    </row>
    <row r="86" spans="1:178" ht="16" customHeight="1">
      <c r="A86">
        <v>2018</v>
      </c>
      <c r="B86">
        <v>3050</v>
      </c>
      <c r="C86" t="s">
        <v>254</v>
      </c>
      <c r="D86" t="s">
        <v>245</v>
      </c>
      <c r="E86" s="203">
        <v>93</v>
      </c>
      <c r="F86" s="203" t="s">
        <v>250</v>
      </c>
      <c r="G86" s="203" t="s">
        <v>247</v>
      </c>
      <c r="H86" s="203" t="s">
        <v>248</v>
      </c>
      <c r="I86" s="202">
        <v>1161</v>
      </c>
      <c r="J86" s="202">
        <v>38442</v>
      </c>
      <c r="K86" s="202">
        <v>102812000</v>
      </c>
      <c r="L86" s="253"/>
      <c r="M86" s="254">
        <v>2019</v>
      </c>
      <c r="N86" s="254">
        <v>3410</v>
      </c>
      <c r="O86" s="255" t="s">
        <v>253</v>
      </c>
      <c r="P86" s="254">
        <v>410</v>
      </c>
      <c r="Q86" s="254">
        <v>232</v>
      </c>
      <c r="R86" s="255" t="s">
        <v>36</v>
      </c>
      <c r="S86" s="255" t="s">
        <v>145</v>
      </c>
      <c r="T86" s="350">
        <v>0</v>
      </c>
      <c r="U86" s="350">
        <v>0</v>
      </c>
      <c r="V86" s="350">
        <v>0</v>
      </c>
      <c r="W86" s="350">
        <v>13463000</v>
      </c>
      <c r="X86" s="350">
        <v>13463000</v>
      </c>
      <c r="AA86" s="272">
        <v>2019</v>
      </c>
      <c r="AB86" s="272">
        <v>2670</v>
      </c>
      <c r="AC86" s="273" t="s">
        <v>257</v>
      </c>
      <c r="AD86" s="272" t="s">
        <v>489</v>
      </c>
      <c r="AE86" s="272">
        <v>49</v>
      </c>
      <c r="AF86" s="274" t="s">
        <v>490</v>
      </c>
      <c r="AG86" s="272">
        <v>327</v>
      </c>
      <c r="AH86" s="272">
        <v>0</v>
      </c>
      <c r="AI86" s="272">
        <v>513</v>
      </c>
      <c r="AJ86" s="272">
        <v>0</v>
      </c>
      <c r="AK86" s="272">
        <v>54618</v>
      </c>
      <c r="AL86" s="352">
        <v>106.46783625730994</v>
      </c>
      <c r="AX86" s="254">
        <v>2019</v>
      </c>
      <c r="AY86" s="254">
        <v>3410</v>
      </c>
      <c r="AZ86" s="255" t="s">
        <v>253</v>
      </c>
      <c r="BA86" s="254">
        <v>410</v>
      </c>
      <c r="BB86" s="254">
        <v>309</v>
      </c>
      <c r="BC86" s="255" t="s">
        <v>555</v>
      </c>
      <c r="BD86" s="255" t="s">
        <v>200</v>
      </c>
      <c r="BE86" s="350">
        <v>0</v>
      </c>
      <c r="BF86" s="350">
        <v>0</v>
      </c>
      <c r="BG86" s="350">
        <v>0</v>
      </c>
      <c r="BH86" s="350">
        <v>0</v>
      </c>
      <c r="BI86" s="350">
        <v>0</v>
      </c>
      <c r="BK86" s="272">
        <v>2019</v>
      </c>
      <c r="BL86" s="272">
        <v>3410</v>
      </c>
      <c r="BM86" s="273" t="s">
        <v>253</v>
      </c>
      <c r="BN86" s="272" t="s">
        <v>588</v>
      </c>
      <c r="BO86" s="272">
        <v>64</v>
      </c>
      <c r="BP86" s="441" t="s">
        <v>594</v>
      </c>
      <c r="BQ86" s="272">
        <v>0</v>
      </c>
      <c r="BR86" s="272">
        <v>0</v>
      </c>
      <c r="BS86" s="272">
        <v>0</v>
      </c>
      <c r="BT86" s="272">
        <v>0</v>
      </c>
      <c r="BU86" s="272">
        <v>0</v>
      </c>
      <c r="BV86" s="272">
        <v>0</v>
      </c>
      <c r="BY86" s="580" t="s">
        <v>717</v>
      </c>
      <c r="BZ86" s="583" t="s">
        <v>718</v>
      </c>
      <c r="CA86" s="4"/>
      <c r="CB86" s="481"/>
      <c r="CC86" s="569">
        <v>209680</v>
      </c>
      <c r="CD86" s="569">
        <v>5009200</v>
      </c>
      <c r="CE86" s="570">
        <v>238899145</v>
      </c>
      <c r="CF86" s="571">
        <v>224139939</v>
      </c>
      <c r="CM86" s="299">
        <v>2019</v>
      </c>
      <c r="CN86" s="299">
        <v>1370</v>
      </c>
      <c r="CO86" s="300" t="s">
        <v>255</v>
      </c>
      <c r="CP86" s="299">
        <v>755</v>
      </c>
      <c r="CQ86" s="299">
        <v>53</v>
      </c>
      <c r="CR86" s="294" t="s">
        <v>385</v>
      </c>
      <c r="CS86" s="294" t="s">
        <v>407</v>
      </c>
      <c r="CT86" s="294" t="s">
        <v>393</v>
      </c>
      <c r="CU86" s="301">
        <v>4306000</v>
      </c>
      <c r="DB86">
        <f t="shared" si="72"/>
        <v>20</v>
      </c>
      <c r="DC86" s="595" t="s">
        <v>818</v>
      </c>
      <c r="DD86" s="595" t="s">
        <v>819</v>
      </c>
      <c r="DE86" s="595" t="s">
        <v>687</v>
      </c>
      <c r="DF86" s="286">
        <v>4160</v>
      </c>
      <c r="DG86" s="286">
        <v>341200.00000000006</v>
      </c>
      <c r="DH86" s="286">
        <v>14407600</v>
      </c>
      <c r="DI86" s="286">
        <v>8388359</v>
      </c>
      <c r="DJ86">
        <v>6</v>
      </c>
      <c r="DK86" s="643">
        <f t="shared" si="74"/>
        <v>1380.3735792495058</v>
      </c>
      <c r="DL86" s="408">
        <f t="shared" si="75"/>
        <v>470983465.23993146</v>
      </c>
      <c r="DM86" s="286"/>
      <c r="DN86" s="286"/>
      <c r="EC86" s="289" t="s">
        <v>701</v>
      </c>
      <c r="ED86" s="296">
        <v>10888</v>
      </c>
      <c r="EE86" s="478">
        <v>1</v>
      </c>
      <c r="EF86" s="296">
        <v>10888</v>
      </c>
      <c r="EG86" s="477">
        <v>1.3469322412893829</v>
      </c>
      <c r="EH86" s="594">
        <v>3777.3982431588015</v>
      </c>
      <c r="EI86" s="286">
        <v>14665.398243158801</v>
      </c>
      <c r="EJ86" s="472">
        <f t="shared" ref="EJ86" si="95">EF86/EI86</f>
        <v>0.74242784406342988</v>
      </c>
      <c r="EK86" s="472">
        <f t="shared" ref="EK86" si="96">1-EJ86</f>
        <v>0.25757215593657012</v>
      </c>
      <c r="EL86" s="596">
        <v>1</v>
      </c>
      <c r="EM86" s="453">
        <v>45.833333333333336</v>
      </c>
      <c r="EN86" s="453">
        <v>264.66666666666669</v>
      </c>
      <c r="EO86" s="453">
        <v>87.75</v>
      </c>
      <c r="EP86" s="453">
        <v>22.4</v>
      </c>
      <c r="EQ86" s="453">
        <v>399.6</v>
      </c>
      <c r="ER86" s="453">
        <v>32.299999999999997</v>
      </c>
      <c r="ES86" s="453">
        <v>23.9</v>
      </c>
      <c r="ET86" s="453">
        <v>375</v>
      </c>
      <c r="EU86" s="453">
        <v>111.9</v>
      </c>
      <c r="EV86" s="453">
        <v>98.208302718589266</v>
      </c>
      <c r="EW86" s="453"/>
      <c r="FH86">
        <v>33</v>
      </c>
      <c r="FI86" t="s">
        <v>1030</v>
      </c>
      <c r="FJ86" t="s">
        <v>1031</v>
      </c>
      <c r="FK86" t="s">
        <v>696</v>
      </c>
      <c r="FL86" s="286">
        <v>1872</v>
      </c>
      <c r="FM86" s="286">
        <v>126836</v>
      </c>
      <c r="FN86" s="286">
        <v>8298023.9999999991</v>
      </c>
      <c r="FO86" s="286">
        <v>2762604</v>
      </c>
      <c r="FP86">
        <v>33</v>
      </c>
      <c r="FQ86" s="925">
        <v>3091.5868848384584</v>
      </c>
      <c r="FR86" s="926">
        <v>392124514.12537074</v>
      </c>
      <c r="FS86">
        <v>1</v>
      </c>
      <c r="FU86" s="2"/>
    </row>
    <row r="87" spans="1:178" ht="16" customHeight="1">
      <c r="A87">
        <v>2018</v>
      </c>
      <c r="B87">
        <v>3050</v>
      </c>
      <c r="C87" t="s">
        <v>254</v>
      </c>
      <c r="D87" t="s">
        <v>245</v>
      </c>
      <c r="E87" s="203">
        <v>94</v>
      </c>
      <c r="F87" s="203" t="s">
        <v>250</v>
      </c>
      <c r="G87" s="203" t="s">
        <v>247</v>
      </c>
      <c r="H87" s="204" t="s">
        <v>249</v>
      </c>
      <c r="I87" s="202">
        <v>0</v>
      </c>
      <c r="J87" s="202">
        <v>0</v>
      </c>
      <c r="K87" s="202">
        <v>0</v>
      </c>
      <c r="L87" s="253"/>
      <c r="M87" s="254">
        <v>2019</v>
      </c>
      <c r="N87" s="254">
        <v>3410</v>
      </c>
      <c r="O87" s="255" t="s">
        <v>253</v>
      </c>
      <c r="P87" s="254">
        <v>410</v>
      </c>
      <c r="Q87" s="254">
        <v>233</v>
      </c>
      <c r="R87" s="255" t="s">
        <v>36</v>
      </c>
      <c r="S87" s="255" t="s">
        <v>152</v>
      </c>
      <c r="T87" s="350">
        <v>0</v>
      </c>
      <c r="U87" s="350">
        <v>0</v>
      </c>
      <c r="V87" s="350">
        <v>0</v>
      </c>
      <c r="W87" s="350">
        <v>0</v>
      </c>
      <c r="X87" s="350">
        <v>0</v>
      </c>
      <c r="AA87" s="272">
        <v>2019</v>
      </c>
      <c r="AB87" s="272">
        <v>2670</v>
      </c>
      <c r="AC87" s="273" t="s">
        <v>257</v>
      </c>
      <c r="AD87" s="272" t="s">
        <v>489</v>
      </c>
      <c r="AE87" s="272">
        <v>50</v>
      </c>
      <c r="AF87" s="274" t="s">
        <v>408</v>
      </c>
      <c r="AG87" s="272">
        <v>0</v>
      </c>
      <c r="AH87" s="272">
        <v>0</v>
      </c>
      <c r="AI87" s="272">
        <v>0</v>
      </c>
      <c r="AJ87" s="272">
        <v>0</v>
      </c>
      <c r="AK87" s="272">
        <v>0</v>
      </c>
      <c r="AL87" s="352">
        <v>0</v>
      </c>
      <c r="AX87" s="254">
        <v>2019</v>
      </c>
      <c r="AY87" s="254">
        <v>3410</v>
      </c>
      <c r="AZ87" s="255" t="s">
        <v>253</v>
      </c>
      <c r="BA87" s="254">
        <v>410</v>
      </c>
      <c r="BB87" s="254">
        <v>310</v>
      </c>
      <c r="BC87" s="255" t="s">
        <v>555</v>
      </c>
      <c r="BD87" s="255" t="s">
        <v>201</v>
      </c>
      <c r="BE87" s="350">
        <v>0</v>
      </c>
      <c r="BF87" s="350">
        <v>0</v>
      </c>
      <c r="BG87" s="350">
        <v>0</v>
      </c>
      <c r="BH87" s="350">
        <v>160000</v>
      </c>
      <c r="BI87" s="350">
        <v>160000</v>
      </c>
      <c r="BK87" s="272">
        <v>2019</v>
      </c>
      <c r="BL87" s="272">
        <v>3410</v>
      </c>
      <c r="BM87" s="273" t="s">
        <v>253</v>
      </c>
      <c r="BN87" s="272" t="s">
        <v>588</v>
      </c>
      <c r="BO87" s="272">
        <v>65</v>
      </c>
      <c r="BP87" s="441" t="s">
        <v>595</v>
      </c>
      <c r="BQ87" s="272">
        <v>0</v>
      </c>
      <c r="BR87" s="272">
        <v>0</v>
      </c>
      <c r="BS87" s="272">
        <v>0</v>
      </c>
      <c r="BT87" s="272">
        <v>0</v>
      </c>
      <c r="BU87" s="272">
        <v>0</v>
      </c>
      <c r="BV87" s="272">
        <v>0</v>
      </c>
      <c r="BY87" s="581" t="s">
        <v>719</v>
      </c>
      <c r="BZ87" s="584" t="s">
        <v>720</v>
      </c>
      <c r="CA87" s="16"/>
      <c r="CB87" s="488"/>
      <c r="CC87" s="569">
        <v>0</v>
      </c>
      <c r="CD87" s="569">
        <v>0</v>
      </c>
      <c r="CE87" s="570">
        <v>0</v>
      </c>
      <c r="CF87" s="571">
        <v>0</v>
      </c>
      <c r="CM87" s="299">
        <v>2019</v>
      </c>
      <c r="CN87" s="299">
        <v>1370</v>
      </c>
      <c r="CO87" s="300" t="s">
        <v>255</v>
      </c>
      <c r="CP87" s="299">
        <v>755</v>
      </c>
      <c r="CQ87" s="299">
        <v>54</v>
      </c>
      <c r="CR87" s="294" t="s">
        <v>385</v>
      </c>
      <c r="CS87" s="294" t="s">
        <v>407</v>
      </c>
      <c r="CT87" s="294" t="s">
        <v>394</v>
      </c>
      <c r="CU87" s="301">
        <v>47405000</v>
      </c>
      <c r="DB87">
        <f t="shared" si="72"/>
        <v>20</v>
      </c>
      <c r="DC87" s="595" t="s">
        <v>818</v>
      </c>
      <c r="DD87" s="595" t="s">
        <v>819</v>
      </c>
      <c r="DE87" s="595" t="s">
        <v>690</v>
      </c>
      <c r="DF87" s="286">
        <v>51644</v>
      </c>
      <c r="DG87" s="286">
        <v>5245164.0000000009</v>
      </c>
      <c r="DH87" s="286">
        <v>180254261</v>
      </c>
      <c r="DI87" s="286">
        <v>100154600</v>
      </c>
      <c r="DJ87">
        <v>6</v>
      </c>
      <c r="DK87" s="643">
        <f t="shared" si="74"/>
        <v>1380.3735792495058</v>
      </c>
      <c r="DL87" s="408">
        <f t="shared" si="75"/>
        <v>7240285804.4306564</v>
      </c>
      <c r="DM87" s="286"/>
      <c r="DN87" s="286"/>
      <c r="EC87" s="289"/>
      <c r="ED87" s="296"/>
      <c r="EE87" s="478"/>
      <c r="EF87" s="296"/>
      <c r="EG87" s="477"/>
      <c r="EH87" s="594"/>
      <c r="EI87" s="286"/>
      <c r="EJ87" s="472"/>
      <c r="EK87" s="472"/>
      <c r="EL87" s="596"/>
      <c r="EM87" s="453"/>
      <c r="EN87" s="453"/>
      <c r="EO87" s="453"/>
      <c r="EP87" s="453"/>
      <c r="EQ87" s="453"/>
      <c r="ER87" s="453"/>
      <c r="ES87" s="453"/>
      <c r="ET87" s="453"/>
      <c r="EU87" s="453"/>
      <c r="EV87" s="453"/>
      <c r="EW87" s="453"/>
      <c r="FH87">
        <v>13</v>
      </c>
      <c r="FI87" t="s">
        <v>1087</v>
      </c>
      <c r="FJ87" t="s">
        <v>1088</v>
      </c>
      <c r="FK87" t="s">
        <v>695</v>
      </c>
      <c r="FL87" s="286">
        <v>498740</v>
      </c>
      <c r="FM87" s="286">
        <v>46719634.000000007</v>
      </c>
      <c r="FN87" s="286">
        <v>1591782403</v>
      </c>
      <c r="FO87" s="286">
        <v>1130959573</v>
      </c>
      <c r="FP87">
        <v>16</v>
      </c>
      <c r="FQ87" s="925">
        <v>319.51291727084612</v>
      </c>
      <c r="FR87" s="926">
        <v>14927526553.166212</v>
      </c>
      <c r="FS87">
        <v>1</v>
      </c>
      <c r="FU87" s="2"/>
    </row>
    <row r="88" spans="1:178" ht="16" customHeight="1">
      <c r="A88">
        <v>2018</v>
      </c>
      <c r="B88">
        <v>3050</v>
      </c>
      <c r="C88" t="s">
        <v>254</v>
      </c>
      <c r="D88" t="s">
        <v>245</v>
      </c>
      <c r="E88" s="203">
        <v>97</v>
      </c>
      <c r="F88" s="203" t="s">
        <v>251</v>
      </c>
      <c r="G88" s="203" t="s">
        <v>247</v>
      </c>
      <c r="H88" s="203" t="s">
        <v>248</v>
      </c>
      <c r="I88" s="202">
        <v>0</v>
      </c>
      <c r="J88" s="202">
        <v>0</v>
      </c>
      <c r="K88" s="202">
        <v>0</v>
      </c>
      <c r="L88" s="253"/>
      <c r="M88" s="254">
        <v>2019</v>
      </c>
      <c r="N88" s="254">
        <v>3410</v>
      </c>
      <c r="O88" s="255" t="s">
        <v>253</v>
      </c>
      <c r="P88" s="254">
        <v>410</v>
      </c>
      <c r="Q88" s="254">
        <v>234</v>
      </c>
      <c r="R88" s="255" t="s">
        <v>36</v>
      </c>
      <c r="S88" s="255" t="s">
        <v>153</v>
      </c>
      <c r="T88" s="350">
        <v>0</v>
      </c>
      <c r="U88" s="350">
        <v>0</v>
      </c>
      <c r="V88" s="350">
        <v>0</v>
      </c>
      <c r="W88" s="350">
        <v>0</v>
      </c>
      <c r="X88" s="350">
        <v>0</v>
      </c>
      <c r="AA88" s="272">
        <v>2019</v>
      </c>
      <c r="AB88" s="272">
        <v>2670</v>
      </c>
      <c r="AC88" s="273" t="s">
        <v>257</v>
      </c>
      <c r="AD88" s="272" t="s">
        <v>489</v>
      </c>
      <c r="AE88" s="272">
        <v>51</v>
      </c>
      <c r="AF88" s="274" t="s">
        <v>409</v>
      </c>
      <c r="AG88" s="272">
        <v>0</v>
      </c>
      <c r="AH88" s="272">
        <v>0</v>
      </c>
      <c r="AI88" s="272">
        <v>0</v>
      </c>
      <c r="AJ88" s="272">
        <v>0</v>
      </c>
      <c r="AK88" s="272">
        <v>0</v>
      </c>
      <c r="AL88" s="352">
        <v>0</v>
      </c>
      <c r="AX88" s="254">
        <v>2019</v>
      </c>
      <c r="AY88" s="254">
        <v>3410</v>
      </c>
      <c r="AZ88" s="255" t="s">
        <v>253</v>
      </c>
      <c r="BA88" s="254">
        <v>410</v>
      </c>
      <c r="BB88" s="254">
        <v>311</v>
      </c>
      <c r="BC88" s="255" t="s">
        <v>555</v>
      </c>
      <c r="BD88" s="255" t="s">
        <v>137</v>
      </c>
      <c r="BE88" s="350">
        <v>0</v>
      </c>
      <c r="BF88" s="350">
        <v>0</v>
      </c>
      <c r="BG88" s="350">
        <v>9524000</v>
      </c>
      <c r="BH88" s="350">
        <v>0</v>
      </c>
      <c r="BI88" s="350">
        <v>9524000</v>
      </c>
      <c r="BK88" s="272">
        <v>2019</v>
      </c>
      <c r="BL88" s="272">
        <v>3410</v>
      </c>
      <c r="BM88" s="273" t="s">
        <v>253</v>
      </c>
      <c r="BN88" s="272" t="s">
        <v>588</v>
      </c>
      <c r="BO88" s="272">
        <v>66</v>
      </c>
      <c r="BP88" s="441" t="s">
        <v>596</v>
      </c>
      <c r="BQ88" s="272">
        <v>0</v>
      </c>
      <c r="BR88" s="272">
        <v>0</v>
      </c>
      <c r="BS88" s="272">
        <v>0</v>
      </c>
      <c r="BT88" s="272">
        <v>0</v>
      </c>
      <c r="BU88" s="272">
        <v>0</v>
      </c>
      <c r="BV88" s="272">
        <v>0</v>
      </c>
      <c r="BY88" s="581" t="s">
        <v>721</v>
      </c>
      <c r="BZ88" s="584" t="s">
        <v>722</v>
      </c>
      <c r="CA88" s="16"/>
      <c r="CB88" s="488"/>
      <c r="CC88" s="569">
        <v>1240</v>
      </c>
      <c r="CD88" s="569">
        <v>24560</v>
      </c>
      <c r="CE88" s="570">
        <v>1843560</v>
      </c>
      <c r="CF88" s="571">
        <v>1317200</v>
      </c>
      <c r="CM88" s="299">
        <v>2019</v>
      </c>
      <c r="CN88" s="299">
        <v>1370</v>
      </c>
      <c r="CO88" s="300" t="s">
        <v>255</v>
      </c>
      <c r="CP88" s="299">
        <v>755</v>
      </c>
      <c r="CQ88" s="299">
        <v>55</v>
      </c>
      <c r="CR88" s="294" t="s">
        <v>385</v>
      </c>
      <c r="CS88" s="294" t="s">
        <v>407</v>
      </c>
      <c r="CT88" s="294" t="s">
        <v>395</v>
      </c>
      <c r="CU88" s="301">
        <v>597000</v>
      </c>
      <c r="DB88">
        <f t="shared" si="72"/>
        <v>20</v>
      </c>
      <c r="DC88" s="595" t="s">
        <v>935</v>
      </c>
      <c r="DD88" s="595" t="s">
        <v>936</v>
      </c>
      <c r="DE88" s="595" t="s">
        <v>690</v>
      </c>
      <c r="DF88" s="286">
        <v>4244</v>
      </c>
      <c r="DG88" s="286">
        <v>349320</v>
      </c>
      <c r="DH88" s="286">
        <v>17816345.999999996</v>
      </c>
      <c r="DI88" s="286">
        <v>11588684</v>
      </c>
      <c r="DJ88">
        <v>6</v>
      </c>
      <c r="DK88" s="643">
        <f t="shared" si="74"/>
        <v>1380.3735792495058</v>
      </c>
      <c r="DL88" s="408">
        <f t="shared" si="75"/>
        <v>482192098.70343739</v>
      </c>
      <c r="DM88" s="286"/>
      <c r="DN88" s="286"/>
      <c r="EC88" s="598" t="s">
        <v>1605</v>
      </c>
      <c r="EW88" s="453"/>
      <c r="FH88">
        <v>28</v>
      </c>
      <c r="FI88" t="s">
        <v>1145</v>
      </c>
      <c r="FJ88" t="s">
        <v>1146</v>
      </c>
      <c r="FK88" t="s">
        <v>695</v>
      </c>
      <c r="FL88" s="286">
        <v>549947</v>
      </c>
      <c r="FM88" s="286">
        <v>51748361.000000007</v>
      </c>
      <c r="FN88" s="286">
        <v>1952107910.0000002</v>
      </c>
      <c r="FO88" s="286">
        <v>1090793661</v>
      </c>
      <c r="FP88">
        <v>17</v>
      </c>
      <c r="FQ88" s="925">
        <v>519.17405707126977</v>
      </c>
      <c r="FR88" s="926">
        <v>26866406527.158676</v>
      </c>
      <c r="FS88">
        <v>1</v>
      </c>
      <c r="FU88" s="2"/>
    </row>
    <row r="89" spans="1:178" ht="16" customHeight="1">
      <c r="A89">
        <v>2018</v>
      </c>
      <c r="B89">
        <v>3050</v>
      </c>
      <c r="C89" t="s">
        <v>254</v>
      </c>
      <c r="D89" t="s">
        <v>245</v>
      </c>
      <c r="E89" s="203">
        <v>98</v>
      </c>
      <c r="F89" s="203" t="s">
        <v>251</v>
      </c>
      <c r="G89" s="203" t="s">
        <v>247</v>
      </c>
      <c r="H89" s="204" t="s">
        <v>249</v>
      </c>
      <c r="I89" s="202">
        <v>0</v>
      </c>
      <c r="J89" s="202">
        <v>0</v>
      </c>
      <c r="K89" s="202">
        <v>0</v>
      </c>
      <c r="L89" s="253"/>
      <c r="M89" s="254">
        <v>2019</v>
      </c>
      <c r="N89" s="254">
        <v>3410</v>
      </c>
      <c r="O89" s="255" t="s">
        <v>253</v>
      </c>
      <c r="P89" s="254">
        <v>410</v>
      </c>
      <c r="Q89" s="254">
        <v>235</v>
      </c>
      <c r="R89" s="255" t="s">
        <v>36</v>
      </c>
      <c r="S89" s="255" t="s">
        <v>202</v>
      </c>
      <c r="T89" s="350">
        <v>0</v>
      </c>
      <c r="U89" s="350">
        <v>0</v>
      </c>
      <c r="V89" s="350">
        <v>-18614000</v>
      </c>
      <c r="W89" s="350">
        <v>0</v>
      </c>
      <c r="X89" s="350">
        <v>-18614000</v>
      </c>
      <c r="AA89" s="272">
        <v>2019</v>
      </c>
      <c r="AB89" s="272">
        <v>2670</v>
      </c>
      <c r="AC89" s="273" t="s">
        <v>257</v>
      </c>
      <c r="AD89" s="272" t="s">
        <v>489</v>
      </c>
      <c r="AE89" s="272">
        <v>52</v>
      </c>
      <c r="AF89" s="274" t="s">
        <v>491</v>
      </c>
      <c r="AG89" s="272">
        <v>207</v>
      </c>
      <c r="AH89" s="272">
        <v>0</v>
      </c>
      <c r="AI89" s="272">
        <v>207</v>
      </c>
      <c r="AJ89" s="272">
        <v>0</v>
      </c>
      <c r="AK89" s="272">
        <v>22488</v>
      </c>
      <c r="AL89" s="352">
        <v>108.6376811594203</v>
      </c>
      <c r="AX89" s="254">
        <v>2019</v>
      </c>
      <c r="AY89" s="254">
        <v>3410</v>
      </c>
      <c r="AZ89" s="255" t="s">
        <v>253</v>
      </c>
      <c r="BA89" s="254">
        <v>410</v>
      </c>
      <c r="BB89" s="254">
        <v>312</v>
      </c>
      <c r="BC89" s="255" t="s">
        <v>555</v>
      </c>
      <c r="BD89" s="255" t="s">
        <v>138</v>
      </c>
      <c r="BE89" s="350">
        <v>0</v>
      </c>
      <c r="BF89" s="350">
        <v>0</v>
      </c>
      <c r="BG89" s="350">
        <v>0</v>
      </c>
      <c r="BH89" s="350">
        <v>0</v>
      </c>
      <c r="BI89" s="350">
        <v>0</v>
      </c>
      <c r="BK89" s="272">
        <v>2019</v>
      </c>
      <c r="BL89" s="272">
        <v>3410</v>
      </c>
      <c r="BM89" s="273" t="s">
        <v>253</v>
      </c>
      <c r="BN89" s="272" t="s">
        <v>588</v>
      </c>
      <c r="BO89" s="272">
        <v>67</v>
      </c>
      <c r="BP89" s="441" t="s">
        <v>597</v>
      </c>
      <c r="BQ89" s="272">
        <v>0</v>
      </c>
      <c r="BR89" s="272">
        <v>0</v>
      </c>
      <c r="BS89" s="272">
        <v>0</v>
      </c>
      <c r="BT89" s="272">
        <v>0</v>
      </c>
      <c r="BU89" s="272">
        <v>0</v>
      </c>
      <c r="BV89" s="272">
        <v>0</v>
      </c>
      <c r="BY89" s="581" t="s">
        <v>723</v>
      </c>
      <c r="BZ89" s="584" t="s">
        <v>724</v>
      </c>
      <c r="CA89" s="16"/>
      <c r="CB89" s="488"/>
      <c r="CC89" s="569">
        <v>0</v>
      </c>
      <c r="CD89" s="569">
        <v>0</v>
      </c>
      <c r="CE89" s="570">
        <v>0</v>
      </c>
      <c r="CF89" s="571">
        <v>0</v>
      </c>
      <c r="CM89" s="299">
        <v>2019</v>
      </c>
      <c r="CN89" s="299">
        <v>1370</v>
      </c>
      <c r="CO89" s="300" t="s">
        <v>255</v>
      </c>
      <c r="CP89" s="299">
        <v>755</v>
      </c>
      <c r="CQ89" s="299">
        <v>56</v>
      </c>
      <c r="CR89" s="294" t="s">
        <v>385</v>
      </c>
      <c r="CS89" s="294" t="s">
        <v>407</v>
      </c>
      <c r="CT89" s="294" t="s">
        <v>396</v>
      </c>
      <c r="CU89" s="301">
        <v>16000</v>
      </c>
      <c r="DB89">
        <f t="shared" si="72"/>
        <v>20</v>
      </c>
      <c r="DC89" s="595" t="s">
        <v>820</v>
      </c>
      <c r="DD89" s="595" t="s">
        <v>821</v>
      </c>
      <c r="DE89" s="595" t="s">
        <v>687</v>
      </c>
      <c r="DF89" s="286">
        <v>1224</v>
      </c>
      <c r="DG89" s="286">
        <v>95116</v>
      </c>
      <c r="DH89" s="286">
        <v>4265024</v>
      </c>
      <c r="DI89" s="286">
        <v>3355222</v>
      </c>
      <c r="DJ89">
        <v>6</v>
      </c>
      <c r="DK89" s="643">
        <f t="shared" si="74"/>
        <v>1380.3735792495058</v>
      </c>
      <c r="DL89" s="408">
        <f t="shared" si="75"/>
        <v>131295613.363896</v>
      </c>
      <c r="DM89" s="286"/>
      <c r="DN89" s="286"/>
      <c r="EC89" s="289" t="s">
        <v>694</v>
      </c>
      <c r="ED89" s="296">
        <v>517423</v>
      </c>
      <c r="EE89" s="478">
        <v>1</v>
      </c>
      <c r="EF89" s="296">
        <v>517423</v>
      </c>
      <c r="EG89" s="477">
        <v>1.9706081166505121</v>
      </c>
      <c r="EH89" s="594">
        <v>502214.9635416579</v>
      </c>
      <c r="EI89" s="286">
        <v>1019637.9635416579</v>
      </c>
      <c r="EJ89" s="472">
        <v>0.41733695775529889</v>
      </c>
      <c r="EK89" s="472">
        <v>0.405070638575525</v>
      </c>
      <c r="EL89" s="596">
        <v>1</v>
      </c>
      <c r="EM89" s="453">
        <v>24</v>
      </c>
      <c r="EN89" s="453">
        <v>187.41666666666666</v>
      </c>
      <c r="EO89" s="453">
        <v>80.416666666666671</v>
      </c>
      <c r="EP89" s="453">
        <v>0.05</v>
      </c>
      <c r="EQ89" s="453">
        <v>265.25</v>
      </c>
      <c r="ER89" s="453">
        <v>32.1</v>
      </c>
      <c r="ES89" s="453">
        <v>0.05</v>
      </c>
      <c r="ET89" s="453">
        <v>499.99950000000001</v>
      </c>
      <c r="EU89" s="453">
        <v>102.45</v>
      </c>
      <c r="EV89" s="453">
        <v>83.444147245097341</v>
      </c>
      <c r="FL89" s="656">
        <f>SUM(FL65:FL88)</f>
        <v>8959666</v>
      </c>
      <c r="FM89" s="656">
        <f>SUM(FM65:FM88)</f>
        <v>985097783</v>
      </c>
      <c r="FN89" s="2"/>
      <c r="FO89" s="2"/>
      <c r="FP89" s="2"/>
      <c r="FQ89" s="646">
        <f>FR89/FM89</f>
        <v>150.35330947925323</v>
      </c>
      <c r="FR89" s="645">
        <f>SUM(FR65:FR88)</f>
        <v>148112711834.72525</v>
      </c>
      <c r="FT89" s="927">
        <f>-1*(PMT($EA$23,$EA$24,FQ89,$EA$25*FQ89)/(365*24))</f>
        <v>1.9477275753088653E-2</v>
      </c>
      <c r="FU89" s="790">
        <f>FT89*FV89</f>
        <v>2.1414884397752423</v>
      </c>
      <c r="FV89" s="788">
        <f>FM89/FL89</f>
        <v>109.94804750534227</v>
      </c>
    </row>
    <row r="90" spans="1:178" ht="16" customHeight="1">
      <c r="A90">
        <v>2018</v>
      </c>
      <c r="B90">
        <v>1370</v>
      </c>
      <c r="C90" t="s">
        <v>255</v>
      </c>
      <c r="D90" t="s">
        <v>245</v>
      </c>
      <c r="E90" s="203">
        <v>91</v>
      </c>
      <c r="F90" s="203" t="s">
        <v>246</v>
      </c>
      <c r="G90" s="203" t="s">
        <v>247</v>
      </c>
      <c r="H90" s="203" t="s">
        <v>248</v>
      </c>
      <c r="I90" s="202">
        <v>65</v>
      </c>
      <c r="J90" s="202">
        <v>13620</v>
      </c>
      <c r="K90" s="202">
        <v>171463000</v>
      </c>
      <c r="L90" s="253"/>
      <c r="M90" s="254">
        <v>2019</v>
      </c>
      <c r="N90" s="254">
        <v>3410</v>
      </c>
      <c r="O90" s="255" t="s">
        <v>253</v>
      </c>
      <c r="P90" s="254">
        <v>410</v>
      </c>
      <c r="Q90" s="254">
        <v>236</v>
      </c>
      <c r="R90" s="255" t="s">
        <v>36</v>
      </c>
      <c r="S90" s="255" t="s">
        <v>156</v>
      </c>
      <c r="T90" s="350">
        <v>0</v>
      </c>
      <c r="U90" s="350">
        <v>0</v>
      </c>
      <c r="V90" s="350">
        <v>0</v>
      </c>
      <c r="W90" s="350">
        <v>0</v>
      </c>
      <c r="X90" s="350">
        <v>0</v>
      </c>
      <c r="AA90" s="272">
        <v>2019</v>
      </c>
      <c r="AB90" s="272">
        <v>2670</v>
      </c>
      <c r="AC90" s="273" t="s">
        <v>257</v>
      </c>
      <c r="AD90" s="272" t="s">
        <v>489</v>
      </c>
      <c r="AE90" s="272">
        <v>53</v>
      </c>
      <c r="AF90" s="274" t="s">
        <v>492</v>
      </c>
      <c r="AG90" s="272">
        <v>53379</v>
      </c>
      <c r="AH90" s="272">
        <v>0</v>
      </c>
      <c r="AI90" s="272">
        <v>51498</v>
      </c>
      <c r="AJ90" s="272">
        <v>0</v>
      </c>
      <c r="AK90" s="272">
        <v>4767132</v>
      </c>
      <c r="AL90" s="352">
        <v>92.569264825818479</v>
      </c>
      <c r="AX90" s="254">
        <v>2019</v>
      </c>
      <c r="AY90" s="254">
        <v>3410</v>
      </c>
      <c r="AZ90" s="255" t="s">
        <v>253</v>
      </c>
      <c r="BA90" s="254">
        <v>410</v>
      </c>
      <c r="BB90" s="254">
        <v>313</v>
      </c>
      <c r="BC90" s="255" t="s">
        <v>555</v>
      </c>
      <c r="BD90" s="255" t="s">
        <v>139</v>
      </c>
      <c r="BE90" s="350">
        <v>0</v>
      </c>
      <c r="BF90" s="350">
        <v>0</v>
      </c>
      <c r="BG90" s="350">
        <v>0</v>
      </c>
      <c r="BH90" s="350">
        <v>0</v>
      </c>
      <c r="BI90" s="350">
        <v>0</v>
      </c>
      <c r="BK90" s="272">
        <v>2019</v>
      </c>
      <c r="BL90" s="272">
        <v>3410</v>
      </c>
      <c r="BM90" s="273" t="s">
        <v>253</v>
      </c>
      <c r="BN90" s="272" t="s">
        <v>588</v>
      </c>
      <c r="BO90" s="272">
        <v>68</v>
      </c>
      <c r="BP90" s="441" t="s">
        <v>598</v>
      </c>
      <c r="BQ90" s="272">
        <v>0</v>
      </c>
      <c r="BR90" s="272">
        <v>0</v>
      </c>
      <c r="BS90" s="272">
        <v>0</v>
      </c>
      <c r="BT90" s="272">
        <v>0</v>
      </c>
      <c r="BU90" s="272">
        <v>0</v>
      </c>
      <c r="BV90" s="272">
        <v>0</v>
      </c>
      <c r="BY90" s="581" t="s">
        <v>725</v>
      </c>
      <c r="BZ90" s="584" t="s">
        <v>726</v>
      </c>
      <c r="CA90" s="16"/>
      <c r="CB90" s="488"/>
      <c r="CC90" s="569">
        <v>0</v>
      </c>
      <c r="CD90" s="569">
        <v>0</v>
      </c>
      <c r="CE90" s="570">
        <v>0</v>
      </c>
      <c r="CF90" s="571">
        <v>0</v>
      </c>
      <c r="CM90" s="299">
        <v>2019</v>
      </c>
      <c r="CN90" s="299">
        <v>1370</v>
      </c>
      <c r="CO90" s="300" t="s">
        <v>255</v>
      </c>
      <c r="CP90" s="299">
        <v>755</v>
      </c>
      <c r="CQ90" s="299">
        <v>57</v>
      </c>
      <c r="CR90" s="294" t="s">
        <v>385</v>
      </c>
      <c r="CS90" s="294" t="s">
        <v>407</v>
      </c>
      <c r="CT90" s="294" t="s">
        <v>397</v>
      </c>
      <c r="CU90" s="301">
        <v>51293000</v>
      </c>
      <c r="DB90">
        <f t="shared" si="72"/>
        <v>20</v>
      </c>
      <c r="DC90" s="595" t="s">
        <v>820</v>
      </c>
      <c r="DD90" s="595" t="s">
        <v>821</v>
      </c>
      <c r="DE90" s="595" t="s">
        <v>690</v>
      </c>
      <c r="DF90" s="286">
        <v>9156</v>
      </c>
      <c r="DG90" s="286">
        <v>872460</v>
      </c>
      <c r="DH90" s="286">
        <v>33676089</v>
      </c>
      <c r="DI90" s="286">
        <v>19864064</v>
      </c>
      <c r="DJ90">
        <v>6</v>
      </c>
      <c r="DK90" s="643">
        <f t="shared" si="74"/>
        <v>1380.3735792495058</v>
      </c>
      <c r="DL90" s="408">
        <f t="shared" si="75"/>
        <v>1204320732.9520237</v>
      </c>
      <c r="DM90" s="286"/>
      <c r="DN90" s="286"/>
    </row>
    <row r="91" spans="1:178" ht="16" customHeight="1">
      <c r="A91">
        <v>2018</v>
      </c>
      <c r="B91">
        <v>1370</v>
      </c>
      <c r="C91" t="s">
        <v>255</v>
      </c>
      <c r="D91" t="s">
        <v>245</v>
      </c>
      <c r="E91" s="203">
        <v>92</v>
      </c>
      <c r="F91" s="203" t="s">
        <v>246</v>
      </c>
      <c r="G91" s="203" t="s">
        <v>247</v>
      </c>
      <c r="H91" s="204" t="s">
        <v>249</v>
      </c>
      <c r="I91" s="202">
        <v>0</v>
      </c>
      <c r="J91" s="202">
        <v>0</v>
      </c>
      <c r="K91" s="202">
        <v>0</v>
      </c>
      <c r="L91" s="253"/>
      <c r="M91" s="254">
        <v>2019</v>
      </c>
      <c r="N91" s="254">
        <v>3410</v>
      </c>
      <c r="O91" s="255" t="s">
        <v>253</v>
      </c>
      <c r="P91" s="254">
        <v>410</v>
      </c>
      <c r="Q91" s="254">
        <v>237</v>
      </c>
      <c r="R91" s="255" t="s">
        <v>36</v>
      </c>
      <c r="S91" s="255" t="s">
        <v>158</v>
      </c>
      <c r="T91" s="350">
        <v>0</v>
      </c>
      <c r="U91" s="350">
        <v>0</v>
      </c>
      <c r="V91" s="350">
        <v>0</v>
      </c>
      <c r="W91" s="350">
        <v>10279000</v>
      </c>
      <c r="X91" s="350">
        <v>10279000</v>
      </c>
      <c r="AA91" s="272">
        <v>2019</v>
      </c>
      <c r="AB91" s="272">
        <v>2670</v>
      </c>
      <c r="AC91" s="273" t="s">
        <v>257</v>
      </c>
      <c r="AD91" s="272" t="s">
        <v>489</v>
      </c>
      <c r="AE91" s="272">
        <v>54</v>
      </c>
      <c r="AF91" s="274" t="s">
        <v>493</v>
      </c>
      <c r="AG91" s="272"/>
      <c r="AH91" s="272">
        <v>110</v>
      </c>
      <c r="AI91" s="272">
        <v>0</v>
      </c>
      <c r="AJ91" s="272">
        <v>100</v>
      </c>
      <c r="AK91" s="272">
        <v>0</v>
      </c>
      <c r="AL91" s="352">
        <v>0</v>
      </c>
      <c r="AX91" s="254">
        <v>2019</v>
      </c>
      <c r="AY91" s="254">
        <v>3410</v>
      </c>
      <c r="AZ91" s="255" t="s">
        <v>253</v>
      </c>
      <c r="BA91" s="254">
        <v>410</v>
      </c>
      <c r="BB91" s="254">
        <v>314</v>
      </c>
      <c r="BC91" s="255" t="s">
        <v>555</v>
      </c>
      <c r="BD91" s="255" t="s">
        <v>140</v>
      </c>
      <c r="BE91" s="350">
        <v>0</v>
      </c>
      <c r="BF91" s="350">
        <v>0</v>
      </c>
      <c r="BG91" s="350">
        <v>0</v>
      </c>
      <c r="BH91" s="350">
        <v>0</v>
      </c>
      <c r="BI91" s="350">
        <v>0</v>
      </c>
      <c r="BK91" s="272">
        <v>2019</v>
      </c>
      <c r="BL91" s="272">
        <v>3410</v>
      </c>
      <c r="BM91" s="273" t="s">
        <v>253</v>
      </c>
      <c r="BN91" s="272" t="s">
        <v>588</v>
      </c>
      <c r="BO91" s="272">
        <v>69</v>
      </c>
      <c r="BP91" s="441" t="s">
        <v>599</v>
      </c>
      <c r="BQ91" s="272">
        <v>0</v>
      </c>
      <c r="BR91" s="272">
        <v>0</v>
      </c>
      <c r="BS91" s="272">
        <v>0</v>
      </c>
      <c r="BT91" s="272">
        <v>0</v>
      </c>
      <c r="BU91" s="272">
        <v>0</v>
      </c>
      <c r="BV91" s="272">
        <v>0</v>
      </c>
      <c r="BY91" s="581" t="s">
        <v>727</v>
      </c>
      <c r="BZ91" s="584" t="s">
        <v>728</v>
      </c>
      <c r="CA91" s="16"/>
      <c r="CB91" s="488"/>
      <c r="CC91" s="569">
        <v>0</v>
      </c>
      <c r="CD91" s="569">
        <v>0</v>
      </c>
      <c r="CE91" s="570">
        <v>0</v>
      </c>
      <c r="CF91" s="571">
        <v>0</v>
      </c>
      <c r="CM91" s="299">
        <v>2019</v>
      </c>
      <c r="CN91" s="299">
        <v>1370</v>
      </c>
      <c r="CO91" s="300" t="s">
        <v>255</v>
      </c>
      <c r="CP91" s="299">
        <v>755</v>
      </c>
      <c r="CQ91" s="299">
        <v>58</v>
      </c>
      <c r="CR91" s="294" t="s">
        <v>385</v>
      </c>
      <c r="CS91" s="294" t="s">
        <v>407</v>
      </c>
      <c r="CT91" s="294" t="s">
        <v>398</v>
      </c>
      <c r="CU91" s="301">
        <v>53886000</v>
      </c>
      <c r="DB91">
        <f t="shared" si="72"/>
        <v>20</v>
      </c>
      <c r="DC91" s="595" t="s">
        <v>937</v>
      </c>
      <c r="DD91" s="595" t="s">
        <v>938</v>
      </c>
      <c r="DE91" s="595" t="s">
        <v>690</v>
      </c>
      <c r="DF91" s="286">
        <v>1320</v>
      </c>
      <c r="DG91" s="286">
        <v>125040</v>
      </c>
      <c r="DH91" s="286">
        <v>5829542</v>
      </c>
      <c r="DI91" s="286">
        <v>2006508</v>
      </c>
      <c r="DJ91">
        <v>6</v>
      </c>
      <c r="DK91" s="643">
        <f t="shared" si="74"/>
        <v>1380.3735792495058</v>
      </c>
      <c r="DL91" s="408">
        <f t="shared" si="75"/>
        <v>172601912.3493582</v>
      </c>
      <c r="DM91" s="286"/>
      <c r="DN91" s="286"/>
      <c r="EC91" s="598" t="s">
        <v>1607</v>
      </c>
      <c r="FH91" s="252" t="s">
        <v>1821</v>
      </c>
    </row>
    <row r="92" spans="1:178" ht="16" customHeight="1">
      <c r="A92">
        <v>2018</v>
      </c>
      <c r="B92">
        <v>1370</v>
      </c>
      <c r="C92" t="s">
        <v>255</v>
      </c>
      <c r="D92" t="s">
        <v>245</v>
      </c>
      <c r="E92" s="203">
        <v>93</v>
      </c>
      <c r="F92" s="203" t="s">
        <v>250</v>
      </c>
      <c r="G92" s="203" t="s">
        <v>247</v>
      </c>
      <c r="H92" s="203" t="s">
        <v>248</v>
      </c>
      <c r="I92" s="202">
        <v>0</v>
      </c>
      <c r="J92" s="202">
        <v>0</v>
      </c>
      <c r="K92" s="202">
        <v>0</v>
      </c>
      <c r="L92" s="253"/>
      <c r="M92" s="254">
        <v>2019</v>
      </c>
      <c r="N92" s="254">
        <v>3050</v>
      </c>
      <c r="O92" s="255" t="s">
        <v>254</v>
      </c>
      <c r="P92" s="254">
        <v>410</v>
      </c>
      <c r="Q92" s="254">
        <v>220</v>
      </c>
      <c r="R92" s="255" t="s">
        <v>36</v>
      </c>
      <c r="S92" s="255" t="s">
        <v>203</v>
      </c>
      <c r="T92" s="350">
        <v>10020000</v>
      </c>
      <c r="U92" s="350">
        <v>9225000</v>
      </c>
      <c r="V92" s="350">
        <v>13729000</v>
      </c>
      <c r="W92" s="350">
        <v>7590000</v>
      </c>
      <c r="X92" s="350">
        <v>40564000</v>
      </c>
      <c r="AA92" s="272">
        <v>2019</v>
      </c>
      <c r="AB92" s="272">
        <v>2670</v>
      </c>
      <c r="AC92" s="273" t="s">
        <v>257</v>
      </c>
      <c r="AD92" s="272" t="s">
        <v>489</v>
      </c>
      <c r="AE92" s="272">
        <v>55</v>
      </c>
      <c r="AF92" s="274" t="s">
        <v>494</v>
      </c>
      <c r="AG92" s="272">
        <v>53379</v>
      </c>
      <c r="AH92" s="272">
        <v>110</v>
      </c>
      <c r="AI92" s="272">
        <v>51498</v>
      </c>
      <c r="AJ92" s="272">
        <v>100</v>
      </c>
      <c r="AK92" s="272">
        <v>4767132</v>
      </c>
      <c r="AL92" s="352">
        <v>92.569264825818479</v>
      </c>
      <c r="AX92" s="254">
        <v>2019</v>
      </c>
      <c r="AY92" s="254">
        <v>3410</v>
      </c>
      <c r="AZ92" s="255" t="s">
        <v>253</v>
      </c>
      <c r="BA92" s="254">
        <v>410</v>
      </c>
      <c r="BB92" s="254">
        <v>315</v>
      </c>
      <c r="BC92" s="255" t="s">
        <v>555</v>
      </c>
      <c r="BD92" s="255" t="s">
        <v>141</v>
      </c>
      <c r="BE92" s="350">
        <v>0</v>
      </c>
      <c r="BF92" s="350">
        <v>0</v>
      </c>
      <c r="BG92" s="350">
        <v>614000</v>
      </c>
      <c r="BH92" s="350">
        <v>0</v>
      </c>
      <c r="BI92" s="350">
        <v>614000</v>
      </c>
      <c r="BK92" s="272">
        <v>2019</v>
      </c>
      <c r="BL92" s="272">
        <v>3410</v>
      </c>
      <c r="BM92" s="273" t="s">
        <v>253</v>
      </c>
      <c r="BN92" s="272" t="s">
        <v>588</v>
      </c>
      <c r="BO92" s="272">
        <v>70</v>
      </c>
      <c r="BP92" s="441" t="s">
        <v>600</v>
      </c>
      <c r="BQ92" s="272">
        <v>153</v>
      </c>
      <c r="BR92" s="272">
        <v>0</v>
      </c>
      <c r="BS92" s="272">
        <v>451</v>
      </c>
      <c r="BT92" s="272">
        <v>0</v>
      </c>
      <c r="BU92" s="272">
        <v>0</v>
      </c>
      <c r="BV92" s="272">
        <v>0</v>
      </c>
      <c r="BY92" s="581" t="s">
        <v>729</v>
      </c>
      <c r="BZ92" s="584" t="s">
        <v>730</v>
      </c>
      <c r="CA92" s="16"/>
      <c r="CB92" s="488"/>
      <c r="CC92" s="569">
        <v>7880</v>
      </c>
      <c r="CD92" s="569">
        <v>150160</v>
      </c>
      <c r="CE92" s="570">
        <v>7792673</v>
      </c>
      <c r="CF92" s="571">
        <v>6962077</v>
      </c>
      <c r="CM92" s="299">
        <v>2019</v>
      </c>
      <c r="CN92" s="299">
        <v>1370</v>
      </c>
      <c r="CO92" s="300" t="s">
        <v>255</v>
      </c>
      <c r="CP92" s="299">
        <v>755</v>
      </c>
      <c r="CQ92" s="299">
        <v>59</v>
      </c>
      <c r="CR92" s="294" t="s">
        <v>385</v>
      </c>
      <c r="CS92" s="294" t="s">
        <v>407</v>
      </c>
      <c r="CT92" s="294" t="s">
        <v>399</v>
      </c>
      <c r="CU92" s="301">
        <v>96000</v>
      </c>
      <c r="DB92">
        <f t="shared" si="72"/>
        <v>20</v>
      </c>
      <c r="DC92" s="595" t="s">
        <v>939</v>
      </c>
      <c r="DD92" s="595" t="s">
        <v>940</v>
      </c>
      <c r="DE92" s="595" t="s">
        <v>690</v>
      </c>
      <c r="DF92" s="286">
        <v>360</v>
      </c>
      <c r="DG92" s="286">
        <v>34760</v>
      </c>
      <c r="DH92" s="286">
        <v>1318360</v>
      </c>
      <c r="DI92" s="286">
        <v>615716</v>
      </c>
      <c r="DJ92">
        <v>6</v>
      </c>
      <c r="DK92" s="643">
        <f t="shared" si="74"/>
        <v>1380.3735792495058</v>
      </c>
      <c r="DL92" s="408">
        <f t="shared" si="75"/>
        <v>47981785.614712819</v>
      </c>
      <c r="DM92" s="286"/>
      <c r="DN92" s="286"/>
      <c r="EC92" s="289" t="s">
        <v>687</v>
      </c>
      <c r="ED92" s="296">
        <v>701196</v>
      </c>
      <c r="EE92" s="478">
        <v>1</v>
      </c>
      <c r="EF92" s="296">
        <v>701196</v>
      </c>
      <c r="EG92" s="477">
        <v>1.7681514186567275</v>
      </c>
      <c r="EH92" s="594">
        <v>538624.70215642278</v>
      </c>
      <c r="EI92" s="286">
        <v>1239820.7021564227</v>
      </c>
      <c r="EJ92" s="472">
        <f>EF92/EI92</f>
        <v>0.56556242267967327</v>
      </c>
      <c r="EK92" s="472">
        <f>1-EJ92</f>
        <v>0.43443757732032673</v>
      </c>
      <c r="EL92" s="596">
        <f t="shared" ref="EL92:EL105" si="97">EI92/$EI$106</f>
        <v>4.5050971537835494E-2</v>
      </c>
      <c r="EM92" s="453">
        <v>43</v>
      </c>
      <c r="EN92" s="453">
        <v>94</v>
      </c>
      <c r="EO92" s="453">
        <v>58.666666666666664</v>
      </c>
      <c r="EP92" s="453">
        <v>22.05</v>
      </c>
      <c r="EQ92" s="453">
        <v>72.099999999999994</v>
      </c>
      <c r="ER92" s="453">
        <v>36.65</v>
      </c>
      <c r="ES92" s="453">
        <v>27.45</v>
      </c>
      <c r="ET92" s="453">
        <v>117.75</v>
      </c>
      <c r="EU92" s="453">
        <v>101.75</v>
      </c>
      <c r="EV92" s="453">
        <v>75.550396750694532</v>
      </c>
      <c r="EW92" s="453"/>
      <c r="FI92" s="2" t="s">
        <v>1208</v>
      </c>
    </row>
    <row r="93" spans="1:178" ht="16" customHeight="1">
      <c r="A93">
        <v>2018</v>
      </c>
      <c r="B93">
        <v>1370</v>
      </c>
      <c r="C93" t="s">
        <v>255</v>
      </c>
      <c r="D93" t="s">
        <v>245</v>
      </c>
      <c r="E93" s="203">
        <v>94</v>
      </c>
      <c r="F93" s="203" t="s">
        <v>250</v>
      </c>
      <c r="G93" s="203" t="s">
        <v>247</v>
      </c>
      <c r="H93" s="204" t="s">
        <v>249</v>
      </c>
      <c r="I93" s="202">
        <v>0</v>
      </c>
      <c r="J93" s="202">
        <v>0</v>
      </c>
      <c r="K93" s="202">
        <v>0</v>
      </c>
      <c r="L93" s="253"/>
      <c r="M93" s="254">
        <v>2019</v>
      </c>
      <c r="N93" s="254">
        <v>3050</v>
      </c>
      <c r="O93" s="255" t="s">
        <v>254</v>
      </c>
      <c r="P93" s="254">
        <v>410</v>
      </c>
      <c r="Q93" s="254">
        <v>221</v>
      </c>
      <c r="R93" s="255" t="s">
        <v>36</v>
      </c>
      <c r="S93" s="255" t="s">
        <v>197</v>
      </c>
      <c r="T93" s="350">
        <v>155261000</v>
      </c>
      <c r="U93" s="350">
        <v>190117000</v>
      </c>
      <c r="V93" s="350">
        <v>111884000</v>
      </c>
      <c r="W93" s="350">
        <v>58789000</v>
      </c>
      <c r="X93" s="350">
        <v>516051000</v>
      </c>
      <c r="AA93" s="272">
        <v>2019</v>
      </c>
      <c r="AB93" s="272">
        <v>3050</v>
      </c>
      <c r="AC93" s="273" t="s">
        <v>254</v>
      </c>
      <c r="AD93" s="272" t="s">
        <v>489</v>
      </c>
      <c r="AE93" s="272">
        <v>36</v>
      </c>
      <c r="AF93" s="274" t="s">
        <v>387</v>
      </c>
      <c r="AG93" s="272">
        <v>0</v>
      </c>
      <c r="AH93" s="272">
        <v>0</v>
      </c>
      <c r="AI93" s="272">
        <v>0</v>
      </c>
      <c r="AJ93" s="272">
        <v>0</v>
      </c>
      <c r="AK93" s="272">
        <v>0</v>
      </c>
      <c r="AL93" s="352">
        <v>0</v>
      </c>
      <c r="AX93" s="254">
        <v>2019</v>
      </c>
      <c r="AY93" s="254">
        <v>3410</v>
      </c>
      <c r="AZ93" s="255" t="s">
        <v>253</v>
      </c>
      <c r="BA93" s="254">
        <v>410</v>
      </c>
      <c r="BB93" s="254">
        <v>316</v>
      </c>
      <c r="BC93" s="255" t="s">
        <v>555</v>
      </c>
      <c r="BD93" s="255" t="s">
        <v>142</v>
      </c>
      <c r="BE93" s="350">
        <v>0</v>
      </c>
      <c r="BF93" s="350">
        <v>0</v>
      </c>
      <c r="BG93" s="350">
        <v>-3352000</v>
      </c>
      <c r="BH93" s="350">
        <v>0</v>
      </c>
      <c r="BI93" s="350">
        <v>-3352000</v>
      </c>
      <c r="BK93" s="272">
        <v>2019</v>
      </c>
      <c r="BL93" s="272">
        <v>3680</v>
      </c>
      <c r="BM93" s="273" t="s">
        <v>252</v>
      </c>
      <c r="BN93" s="272" t="s">
        <v>588</v>
      </c>
      <c r="BO93" s="272">
        <v>59</v>
      </c>
      <c r="BP93" s="441" t="s">
        <v>589</v>
      </c>
      <c r="BQ93" s="272">
        <v>145</v>
      </c>
      <c r="BR93" s="272">
        <v>0</v>
      </c>
      <c r="BS93" s="272">
        <v>145</v>
      </c>
      <c r="BT93" s="272">
        <v>0</v>
      </c>
      <c r="BU93" s="272">
        <v>4872</v>
      </c>
      <c r="BV93" s="272">
        <v>0</v>
      </c>
      <c r="BY93" s="581" t="s">
        <v>731</v>
      </c>
      <c r="BZ93" s="584" t="s">
        <v>732</v>
      </c>
      <c r="CA93" s="16"/>
      <c r="CB93" s="488"/>
      <c r="CC93" s="569">
        <v>3232</v>
      </c>
      <c r="CD93" s="569">
        <v>49452</v>
      </c>
      <c r="CE93" s="570">
        <v>16109016</v>
      </c>
      <c r="CF93" s="571">
        <v>2857900</v>
      </c>
      <c r="CM93" s="299">
        <v>2019</v>
      </c>
      <c r="CN93" s="299">
        <v>1370</v>
      </c>
      <c r="CO93" s="300" t="s">
        <v>255</v>
      </c>
      <c r="CP93" s="299">
        <v>755</v>
      </c>
      <c r="CQ93" s="299">
        <v>60</v>
      </c>
      <c r="CR93" s="294" t="s">
        <v>385</v>
      </c>
      <c r="CS93" s="294" t="s">
        <v>407</v>
      </c>
      <c r="CT93" s="294" t="s">
        <v>400</v>
      </c>
      <c r="CU93" s="301">
        <v>5619000</v>
      </c>
      <c r="DB93">
        <f t="shared" si="72"/>
        <v>20</v>
      </c>
      <c r="DC93" s="595" t="s">
        <v>941</v>
      </c>
      <c r="DD93" s="595" t="s">
        <v>942</v>
      </c>
      <c r="DE93" s="595" t="s">
        <v>690</v>
      </c>
      <c r="DF93" s="286">
        <v>29796</v>
      </c>
      <c r="DG93" s="286">
        <v>2996148</v>
      </c>
      <c r="DH93" s="286">
        <v>98064563</v>
      </c>
      <c r="DI93" s="286">
        <v>59604201</v>
      </c>
      <c r="DJ93">
        <v>6</v>
      </c>
      <c r="DK93" s="643">
        <f t="shared" si="74"/>
        <v>1380.3735792495058</v>
      </c>
      <c r="DL93" s="408">
        <f t="shared" si="75"/>
        <v>4135803538.7212486</v>
      </c>
      <c r="DM93" s="286"/>
      <c r="DN93" s="286"/>
      <c r="EC93" s="289" t="s">
        <v>686</v>
      </c>
      <c r="ED93" s="296">
        <v>82700</v>
      </c>
      <c r="EE93" s="478">
        <v>1</v>
      </c>
      <c r="EF93" s="296">
        <v>82700</v>
      </c>
      <c r="EG93" s="477">
        <v>1.8550029036996549</v>
      </c>
      <c r="EH93" s="594">
        <v>70708.74013596146</v>
      </c>
      <c r="EI93" s="286">
        <v>153408.74013596145</v>
      </c>
      <c r="EJ93" s="472">
        <f t="shared" ref="EJ93:EJ105" si="98">EF93/EI93</f>
        <v>0.53908271410550357</v>
      </c>
      <c r="EK93" s="472">
        <f t="shared" ref="EK93:EK105" si="99">1-EJ93</f>
        <v>0.46091728589449643</v>
      </c>
      <c r="EL93" s="596">
        <f t="shared" si="97"/>
        <v>5.5743647234634125E-3</v>
      </c>
      <c r="EM93" s="453">
        <v>41.75</v>
      </c>
      <c r="EN93" s="453">
        <v>92.583333333333329</v>
      </c>
      <c r="EO93" s="453">
        <v>57.083333333333336</v>
      </c>
      <c r="EP93" s="453">
        <v>21.8</v>
      </c>
      <c r="EQ93" s="453">
        <v>93.25</v>
      </c>
      <c r="ER93" s="453">
        <v>33.15</v>
      </c>
      <c r="ES93" s="453">
        <v>16.75</v>
      </c>
      <c r="ET93" s="453">
        <v>108.15</v>
      </c>
      <c r="EU93" s="453">
        <v>79.650000000000006</v>
      </c>
      <c r="EV93" s="453">
        <v>72.013155985489718</v>
      </c>
      <c r="EW93" s="453"/>
      <c r="FH93" t="s">
        <v>797</v>
      </c>
      <c r="FI93" t="s">
        <v>804</v>
      </c>
      <c r="FJ93" t="s">
        <v>805</v>
      </c>
      <c r="FK93" t="s">
        <v>800</v>
      </c>
      <c r="FL93" t="s">
        <v>678</v>
      </c>
      <c r="FM93" t="s">
        <v>794</v>
      </c>
      <c r="FN93" t="s">
        <v>353</v>
      </c>
      <c r="FO93" t="s">
        <v>803</v>
      </c>
      <c r="FP93" t="s">
        <v>1627</v>
      </c>
      <c r="FQ93" t="s">
        <v>1628</v>
      </c>
      <c r="FR93" t="s">
        <v>1680</v>
      </c>
      <c r="FS93" t="s">
        <v>1815</v>
      </c>
    </row>
    <row r="94" spans="1:178" ht="16" customHeight="1">
      <c r="A94">
        <v>2018</v>
      </c>
      <c r="B94">
        <v>1370</v>
      </c>
      <c r="C94" t="s">
        <v>255</v>
      </c>
      <c r="D94" t="s">
        <v>245</v>
      </c>
      <c r="E94" s="203">
        <v>97</v>
      </c>
      <c r="F94" s="203" t="s">
        <v>251</v>
      </c>
      <c r="G94" s="203" t="s">
        <v>247</v>
      </c>
      <c r="H94" s="203" t="s">
        <v>248</v>
      </c>
      <c r="I94" s="202">
        <v>0</v>
      </c>
      <c r="J94" s="202">
        <v>0</v>
      </c>
      <c r="K94" s="202">
        <v>0</v>
      </c>
      <c r="L94" s="253"/>
      <c r="M94" s="254">
        <v>2019</v>
      </c>
      <c r="N94" s="254">
        <v>3050</v>
      </c>
      <c r="O94" s="255" t="s">
        <v>254</v>
      </c>
      <c r="P94" s="254">
        <v>410</v>
      </c>
      <c r="Q94" s="254">
        <v>222</v>
      </c>
      <c r="R94" s="255" t="s">
        <v>36</v>
      </c>
      <c r="S94" s="255" t="s">
        <v>198</v>
      </c>
      <c r="T94" s="350">
        <v>297000</v>
      </c>
      <c r="U94" s="350">
        <v>2221000</v>
      </c>
      <c r="V94" s="350">
        <v>172000</v>
      </c>
      <c r="W94" s="350">
        <v>0</v>
      </c>
      <c r="X94" s="350">
        <v>2690000</v>
      </c>
      <c r="AA94" s="272">
        <v>2019</v>
      </c>
      <c r="AB94" s="272">
        <v>3050</v>
      </c>
      <c r="AC94" s="273" t="s">
        <v>254</v>
      </c>
      <c r="AD94" s="272" t="s">
        <v>489</v>
      </c>
      <c r="AE94" s="272">
        <v>37</v>
      </c>
      <c r="AF94" s="274" t="s">
        <v>388</v>
      </c>
      <c r="AG94" s="272">
        <v>0</v>
      </c>
      <c r="AH94" s="272">
        <v>0</v>
      </c>
      <c r="AI94" s="272">
        <v>0</v>
      </c>
      <c r="AJ94" s="272">
        <v>0</v>
      </c>
      <c r="AK94" s="272">
        <v>0</v>
      </c>
      <c r="AL94" s="352">
        <v>0</v>
      </c>
      <c r="AX94" s="254">
        <v>2019</v>
      </c>
      <c r="AY94" s="254">
        <v>3410</v>
      </c>
      <c r="AZ94" s="255" t="s">
        <v>253</v>
      </c>
      <c r="BA94" s="254">
        <v>410</v>
      </c>
      <c r="BB94" s="254">
        <v>317</v>
      </c>
      <c r="BC94" s="255" t="s">
        <v>555</v>
      </c>
      <c r="BD94" s="255" t="s">
        <v>145</v>
      </c>
      <c r="BE94" s="350">
        <v>0</v>
      </c>
      <c r="BF94" s="350">
        <v>0</v>
      </c>
      <c r="BG94" s="350">
        <v>0</v>
      </c>
      <c r="BH94" s="350">
        <v>26526000</v>
      </c>
      <c r="BI94" s="350">
        <v>26526000</v>
      </c>
      <c r="BK94" s="272">
        <v>2019</v>
      </c>
      <c r="BL94" s="272">
        <v>3680</v>
      </c>
      <c r="BM94" s="273" t="s">
        <v>252</v>
      </c>
      <c r="BN94" s="272" t="s">
        <v>588</v>
      </c>
      <c r="BO94" s="272">
        <v>60</v>
      </c>
      <c r="BP94" s="441" t="s">
        <v>590</v>
      </c>
      <c r="BQ94" s="272">
        <v>1954</v>
      </c>
      <c r="BR94" s="272">
        <v>0</v>
      </c>
      <c r="BS94" s="272">
        <v>1825</v>
      </c>
      <c r="BT94" s="272">
        <v>0</v>
      </c>
      <c r="BU94" s="272">
        <v>52925</v>
      </c>
      <c r="BV94" s="272">
        <v>0</v>
      </c>
      <c r="BY94" s="581" t="s">
        <v>733</v>
      </c>
      <c r="BZ94" s="584" t="s">
        <v>734</v>
      </c>
      <c r="CA94" s="16"/>
      <c r="CB94" s="488"/>
      <c r="CC94" s="569">
        <v>607360</v>
      </c>
      <c r="CD94" s="569">
        <v>10379280</v>
      </c>
      <c r="CE94" s="570">
        <v>741649491</v>
      </c>
      <c r="CF94" s="571">
        <v>534943464</v>
      </c>
      <c r="CM94" s="299">
        <v>2019</v>
      </c>
      <c r="CN94" s="299">
        <v>1370</v>
      </c>
      <c r="CO94" s="300" t="s">
        <v>255</v>
      </c>
      <c r="CP94" s="299">
        <v>755</v>
      </c>
      <c r="CQ94" s="299">
        <v>61</v>
      </c>
      <c r="CR94" s="294" t="s">
        <v>385</v>
      </c>
      <c r="CS94" s="294" t="s">
        <v>407</v>
      </c>
      <c r="CT94" s="294" t="s">
        <v>408</v>
      </c>
      <c r="CU94" s="301">
        <v>43626000</v>
      </c>
      <c r="DB94">
        <f t="shared" si="72"/>
        <v>20</v>
      </c>
      <c r="DC94" s="595" t="s">
        <v>822</v>
      </c>
      <c r="DD94" s="595" t="s">
        <v>823</v>
      </c>
      <c r="DE94" s="595" t="s">
        <v>687</v>
      </c>
      <c r="DF94" s="286">
        <v>1320</v>
      </c>
      <c r="DG94" s="286">
        <v>107560</v>
      </c>
      <c r="DH94" s="286">
        <v>5477480.0000000009</v>
      </c>
      <c r="DI94" s="286">
        <v>3376567</v>
      </c>
      <c r="DJ94">
        <v>4</v>
      </c>
      <c r="DK94" s="643">
        <f t="shared" si="74"/>
        <v>372.51982588160462</v>
      </c>
      <c r="DL94" s="408">
        <f t="shared" si="75"/>
        <v>40068232.471825391</v>
      </c>
      <c r="DM94" s="286"/>
      <c r="DN94" s="286"/>
      <c r="EC94" s="289" t="s">
        <v>690</v>
      </c>
      <c r="ED94" s="296">
        <v>4481530</v>
      </c>
      <c r="EE94" s="478">
        <v>1</v>
      </c>
      <c r="EF94" s="296">
        <v>4481530</v>
      </c>
      <c r="EG94" s="477">
        <v>2.0135584440475895</v>
      </c>
      <c r="EH94" s="594">
        <v>4542292.5737525942</v>
      </c>
      <c r="EI94" s="286">
        <v>9023822.5737525932</v>
      </c>
      <c r="EJ94" s="472">
        <f t="shared" si="98"/>
        <v>0.49663321318343889</v>
      </c>
      <c r="EK94" s="472">
        <f t="shared" si="99"/>
        <v>0.50336678681656111</v>
      </c>
      <c r="EL94" s="596">
        <f t="shared" si="97"/>
        <v>0.32789577817625049</v>
      </c>
      <c r="EM94" s="453">
        <v>36.916666666666664</v>
      </c>
      <c r="EN94" s="453">
        <v>88</v>
      </c>
      <c r="EO94" s="453">
        <v>59.916666666666664</v>
      </c>
      <c r="EP94" s="453">
        <v>15</v>
      </c>
      <c r="EQ94" s="453">
        <v>60</v>
      </c>
      <c r="ER94" s="453">
        <v>31.25</v>
      </c>
      <c r="ES94" s="453">
        <v>50</v>
      </c>
      <c r="ET94" s="453">
        <v>207.65</v>
      </c>
      <c r="EU94" s="453">
        <v>110.7</v>
      </c>
      <c r="EV94" s="453">
        <v>99.47881884088693</v>
      </c>
      <c r="FH94">
        <v>1</v>
      </c>
      <c r="FI94" t="s">
        <v>806</v>
      </c>
      <c r="FJ94" t="s">
        <v>807</v>
      </c>
      <c r="FK94" t="s">
        <v>687</v>
      </c>
      <c r="FL94" s="286">
        <v>1036</v>
      </c>
      <c r="FM94" s="286">
        <v>85180</v>
      </c>
      <c r="FN94" s="286">
        <v>5263056</v>
      </c>
      <c r="FO94" s="286">
        <v>3993731</v>
      </c>
      <c r="FP94">
        <v>3</v>
      </c>
      <c r="FQ94" s="925">
        <v>679.18710494589243</v>
      </c>
      <c r="FR94" s="926">
        <v>57853157.599291116</v>
      </c>
      <c r="FS94">
        <v>0</v>
      </c>
    </row>
    <row r="95" spans="1:178" ht="16" customHeight="1">
      <c r="A95">
        <v>2018</v>
      </c>
      <c r="B95">
        <v>1370</v>
      </c>
      <c r="C95" t="s">
        <v>255</v>
      </c>
      <c r="D95" t="s">
        <v>245</v>
      </c>
      <c r="E95" s="203">
        <v>98</v>
      </c>
      <c r="F95" s="203" t="s">
        <v>251</v>
      </c>
      <c r="G95" s="203" t="s">
        <v>247</v>
      </c>
      <c r="H95" s="204" t="s">
        <v>249</v>
      </c>
      <c r="I95" s="202">
        <v>0</v>
      </c>
      <c r="J95" s="202">
        <v>0</v>
      </c>
      <c r="K95" s="202">
        <v>0</v>
      </c>
      <c r="L95" s="253"/>
      <c r="M95" s="254">
        <v>2019</v>
      </c>
      <c r="N95" s="254">
        <v>3050</v>
      </c>
      <c r="O95" s="255" t="s">
        <v>254</v>
      </c>
      <c r="P95" s="254">
        <v>410</v>
      </c>
      <c r="Q95" s="254">
        <v>223</v>
      </c>
      <c r="R95" s="255" t="s">
        <v>36</v>
      </c>
      <c r="S95" s="255" t="s">
        <v>199</v>
      </c>
      <c r="T95" s="350">
        <v>531000</v>
      </c>
      <c r="U95" s="350">
        <v>0</v>
      </c>
      <c r="V95" s="350">
        <v>0</v>
      </c>
      <c r="W95" s="350">
        <v>22857000</v>
      </c>
      <c r="X95" s="350">
        <v>23388000</v>
      </c>
      <c r="AA95" s="272">
        <v>2019</v>
      </c>
      <c r="AB95" s="272">
        <v>3050</v>
      </c>
      <c r="AC95" s="273" t="s">
        <v>254</v>
      </c>
      <c r="AD95" s="272" t="s">
        <v>489</v>
      </c>
      <c r="AE95" s="272">
        <v>38</v>
      </c>
      <c r="AF95" s="274" t="s">
        <v>389</v>
      </c>
      <c r="AG95" s="272">
        <v>4411</v>
      </c>
      <c r="AH95" s="272">
        <v>0</v>
      </c>
      <c r="AI95" s="272">
        <v>4474</v>
      </c>
      <c r="AJ95" s="272">
        <v>0</v>
      </c>
      <c r="AK95" s="272">
        <v>442532</v>
      </c>
      <c r="AL95" s="352">
        <v>98.911935628073309</v>
      </c>
      <c r="AX95" s="254">
        <v>2019</v>
      </c>
      <c r="AY95" s="254">
        <v>3410</v>
      </c>
      <c r="AZ95" s="255" t="s">
        <v>253</v>
      </c>
      <c r="BA95" s="254">
        <v>410</v>
      </c>
      <c r="BB95" s="254">
        <v>318</v>
      </c>
      <c r="BC95" s="255" t="s">
        <v>555</v>
      </c>
      <c r="BD95" s="255" t="s">
        <v>152</v>
      </c>
      <c r="BE95" s="350">
        <v>0</v>
      </c>
      <c r="BF95" s="350">
        <v>0</v>
      </c>
      <c r="BG95" s="350">
        <v>0</v>
      </c>
      <c r="BH95" s="350">
        <v>0</v>
      </c>
      <c r="BI95" s="350">
        <v>0</v>
      </c>
      <c r="BK95" s="272">
        <v>2019</v>
      </c>
      <c r="BL95" s="272">
        <v>3680</v>
      </c>
      <c r="BM95" s="273" t="s">
        <v>252</v>
      </c>
      <c r="BN95" s="272" t="s">
        <v>588</v>
      </c>
      <c r="BO95" s="272">
        <v>61</v>
      </c>
      <c r="BP95" s="441" t="s">
        <v>591</v>
      </c>
      <c r="BQ95" s="272">
        <v>0</v>
      </c>
      <c r="BR95" s="272">
        <v>0</v>
      </c>
      <c r="BS95" s="272">
        <v>0</v>
      </c>
      <c r="BT95" s="272">
        <v>0</v>
      </c>
      <c r="BU95" s="272">
        <v>0</v>
      </c>
      <c r="BV95" s="272">
        <v>0</v>
      </c>
      <c r="BY95" s="581" t="s">
        <v>735</v>
      </c>
      <c r="BZ95" s="584" t="s">
        <v>736</v>
      </c>
      <c r="CA95" s="16"/>
      <c r="CB95" s="488"/>
      <c r="CC95" s="569">
        <v>0</v>
      </c>
      <c r="CD95" s="569">
        <v>0</v>
      </c>
      <c r="CE95" s="570">
        <v>0</v>
      </c>
      <c r="CF95" s="571">
        <v>0</v>
      </c>
      <c r="CM95" s="299">
        <v>2019</v>
      </c>
      <c r="CN95" s="299">
        <v>1370</v>
      </c>
      <c r="CO95" s="300" t="s">
        <v>255</v>
      </c>
      <c r="CP95" s="299">
        <v>755</v>
      </c>
      <c r="CQ95" s="299">
        <v>62</v>
      </c>
      <c r="CR95" s="294" t="s">
        <v>385</v>
      </c>
      <c r="CS95" s="294" t="s">
        <v>407</v>
      </c>
      <c r="CT95" s="294" t="s">
        <v>409</v>
      </c>
      <c r="CU95" s="301">
        <v>129255000</v>
      </c>
      <c r="DB95">
        <f t="shared" si="72"/>
        <v>20</v>
      </c>
      <c r="DC95" s="595" t="s">
        <v>822</v>
      </c>
      <c r="DD95" s="595" t="s">
        <v>823</v>
      </c>
      <c r="DE95" s="595" t="s">
        <v>690</v>
      </c>
      <c r="DF95" s="286">
        <v>50985</v>
      </c>
      <c r="DG95" s="286">
        <v>5115504</v>
      </c>
      <c r="DH95" s="286">
        <v>126539522</v>
      </c>
      <c r="DI95" s="286">
        <v>75284394</v>
      </c>
      <c r="DJ95">
        <v>4</v>
      </c>
      <c r="DK95" s="643">
        <f t="shared" si="74"/>
        <v>372.51982588160462</v>
      </c>
      <c r="DL95" s="408">
        <f t="shared" si="75"/>
        <v>1905626659.376652</v>
      </c>
      <c r="DM95" s="286"/>
      <c r="DN95" s="286"/>
      <c r="EC95" s="289" t="s">
        <v>689</v>
      </c>
      <c r="ED95" s="296">
        <v>503778</v>
      </c>
      <c r="EE95" s="478">
        <v>1</v>
      </c>
      <c r="EF95" s="296">
        <v>503778</v>
      </c>
      <c r="EG95" s="477">
        <v>1.9764118884082422</v>
      </c>
      <c r="EH95" s="594">
        <v>491894.82831852743</v>
      </c>
      <c r="EI95" s="286">
        <v>995672.82831852743</v>
      </c>
      <c r="EJ95" s="472">
        <f t="shared" si="98"/>
        <v>0.50596740783894878</v>
      </c>
      <c r="EK95" s="472">
        <f t="shared" si="99"/>
        <v>0.49403259216105122</v>
      </c>
      <c r="EL95" s="596">
        <f t="shared" si="97"/>
        <v>3.6179447698813198E-2</v>
      </c>
      <c r="EM95" s="453">
        <v>28.833333333333332</v>
      </c>
      <c r="EN95" s="453">
        <v>87.833333333333329</v>
      </c>
      <c r="EO95" s="453">
        <v>57.166666666666664</v>
      </c>
      <c r="EP95" s="453">
        <v>20.2</v>
      </c>
      <c r="EQ95" s="453">
        <v>72.5</v>
      </c>
      <c r="ER95" s="453">
        <v>33.15</v>
      </c>
      <c r="ES95" s="453">
        <v>38</v>
      </c>
      <c r="ET95" s="453">
        <v>122.8</v>
      </c>
      <c r="EU95" s="453">
        <v>105.05</v>
      </c>
      <c r="EV95" s="453">
        <v>92.097558845364432</v>
      </c>
      <c r="FH95">
        <v>1</v>
      </c>
      <c r="FI95" t="s">
        <v>810</v>
      </c>
      <c r="FJ95" t="s">
        <v>811</v>
      </c>
      <c r="FK95" t="s">
        <v>687</v>
      </c>
      <c r="FL95" s="286">
        <v>5360</v>
      </c>
      <c r="FM95" s="286">
        <v>503280.00000000006</v>
      </c>
      <c r="FN95" s="286">
        <v>29542318</v>
      </c>
      <c r="FO95" s="286">
        <v>23023174</v>
      </c>
      <c r="FP95">
        <v>3</v>
      </c>
      <c r="FQ95" s="925">
        <v>679.18710494589243</v>
      </c>
      <c r="FR95" s="926">
        <v>341821286.17716879</v>
      </c>
      <c r="FS95">
        <v>0</v>
      </c>
    </row>
    <row r="96" spans="1:178" ht="16" customHeight="1">
      <c r="A96">
        <v>2018</v>
      </c>
      <c r="B96">
        <v>2670</v>
      </c>
      <c r="C96" t="s">
        <v>257</v>
      </c>
      <c r="D96" t="s">
        <v>245</v>
      </c>
      <c r="E96" s="203">
        <v>91</v>
      </c>
      <c r="F96" s="203" t="s">
        <v>246</v>
      </c>
      <c r="G96" s="203" t="s">
        <v>247</v>
      </c>
      <c r="H96" s="203" t="s">
        <v>248</v>
      </c>
      <c r="I96" s="202">
        <v>0</v>
      </c>
      <c r="J96" s="202">
        <v>0</v>
      </c>
      <c r="K96" s="202">
        <v>0</v>
      </c>
      <c r="L96" s="253"/>
      <c r="M96" s="254">
        <v>2019</v>
      </c>
      <c r="N96" s="254">
        <v>3050</v>
      </c>
      <c r="O96" s="255" t="s">
        <v>254</v>
      </c>
      <c r="P96" s="254">
        <v>410</v>
      </c>
      <c r="Q96" s="254">
        <v>224</v>
      </c>
      <c r="R96" s="255" t="s">
        <v>36</v>
      </c>
      <c r="S96" s="255" t="s">
        <v>200</v>
      </c>
      <c r="T96" s="350">
        <v>0</v>
      </c>
      <c r="U96" s="350">
        <v>0</v>
      </c>
      <c r="V96" s="350">
        <v>0</v>
      </c>
      <c r="W96" s="350">
        <v>67164000</v>
      </c>
      <c r="X96" s="350">
        <v>67164000</v>
      </c>
      <c r="AA96" s="272">
        <v>2019</v>
      </c>
      <c r="AB96" s="272">
        <v>3050</v>
      </c>
      <c r="AC96" s="273" t="s">
        <v>254</v>
      </c>
      <c r="AD96" s="272" t="s">
        <v>489</v>
      </c>
      <c r="AE96" s="272">
        <v>39</v>
      </c>
      <c r="AF96" s="274" t="s">
        <v>390</v>
      </c>
      <c r="AG96" s="272">
        <v>7199</v>
      </c>
      <c r="AH96" s="272">
        <v>0</v>
      </c>
      <c r="AI96" s="272">
        <v>6765</v>
      </c>
      <c r="AJ96" s="272">
        <v>0</v>
      </c>
      <c r="AK96" s="272">
        <v>799138</v>
      </c>
      <c r="AL96" s="352">
        <v>118.12830746489283</v>
      </c>
      <c r="AX96" s="254">
        <v>2019</v>
      </c>
      <c r="AY96" s="254">
        <v>3410</v>
      </c>
      <c r="AZ96" s="255" t="s">
        <v>253</v>
      </c>
      <c r="BA96" s="254">
        <v>410</v>
      </c>
      <c r="BB96" s="254">
        <v>319</v>
      </c>
      <c r="BC96" s="255" t="s">
        <v>555</v>
      </c>
      <c r="BD96" s="255" t="s">
        <v>153</v>
      </c>
      <c r="BE96" s="350">
        <v>0</v>
      </c>
      <c r="BF96" s="350">
        <v>0</v>
      </c>
      <c r="BG96" s="350">
        <v>-3472000</v>
      </c>
      <c r="BH96" s="350">
        <v>0</v>
      </c>
      <c r="BI96" s="350">
        <v>-3472000</v>
      </c>
      <c r="BK96" s="272">
        <v>2019</v>
      </c>
      <c r="BL96" s="272">
        <v>3680</v>
      </c>
      <c r="BM96" s="273" t="s">
        <v>252</v>
      </c>
      <c r="BN96" s="272" t="s">
        <v>588</v>
      </c>
      <c r="BO96" s="272">
        <v>62</v>
      </c>
      <c r="BP96" s="441" t="s">
        <v>592</v>
      </c>
      <c r="BQ96" s="272">
        <v>0</v>
      </c>
      <c r="BR96" s="272">
        <v>0</v>
      </c>
      <c r="BS96" s="272">
        <v>0</v>
      </c>
      <c r="BT96" s="272">
        <v>0</v>
      </c>
      <c r="BU96" s="272">
        <v>0</v>
      </c>
      <c r="BV96" s="272">
        <v>0</v>
      </c>
      <c r="BY96" s="581" t="s">
        <v>737</v>
      </c>
      <c r="BZ96" s="584" t="s">
        <v>738</v>
      </c>
      <c r="CA96" s="16"/>
      <c r="CB96" s="488"/>
      <c r="CC96" s="569">
        <v>14720</v>
      </c>
      <c r="CD96" s="569">
        <v>186000</v>
      </c>
      <c r="CE96" s="570">
        <v>14922860</v>
      </c>
      <c r="CF96" s="571">
        <v>11094823</v>
      </c>
      <c r="CM96" s="299">
        <v>2019</v>
      </c>
      <c r="CN96" s="299">
        <v>1370</v>
      </c>
      <c r="CO96" s="300" t="s">
        <v>255</v>
      </c>
      <c r="CP96" s="299">
        <v>755</v>
      </c>
      <c r="CQ96" s="299">
        <v>63</v>
      </c>
      <c r="CR96" s="294" t="s">
        <v>385</v>
      </c>
      <c r="CS96" s="294" t="s">
        <v>410</v>
      </c>
      <c r="CT96" s="294" t="s">
        <v>402</v>
      </c>
      <c r="CU96" s="301">
        <v>108468000</v>
      </c>
      <c r="DB96">
        <f t="shared" si="72"/>
        <v>20</v>
      </c>
      <c r="DC96" s="595" t="s">
        <v>822</v>
      </c>
      <c r="DD96" s="595" t="s">
        <v>823</v>
      </c>
      <c r="DE96" s="595" t="s">
        <v>695</v>
      </c>
      <c r="DF96" s="286">
        <v>6560</v>
      </c>
      <c r="DG96" s="286">
        <v>610560</v>
      </c>
      <c r="DH96" s="286">
        <v>24258023</v>
      </c>
      <c r="DI96" s="286">
        <v>12117539</v>
      </c>
      <c r="DJ96">
        <v>4</v>
      </c>
      <c r="DK96" s="643">
        <f t="shared" si="74"/>
        <v>372.51982588160462</v>
      </c>
      <c r="DL96" s="408">
        <f t="shared" si="75"/>
        <v>227445704.89027253</v>
      </c>
      <c r="DM96" s="286"/>
      <c r="DN96" s="286"/>
      <c r="EC96" s="289" t="s">
        <v>694</v>
      </c>
      <c r="ED96" s="296">
        <v>517423</v>
      </c>
      <c r="EE96" s="478">
        <v>1</v>
      </c>
      <c r="EF96" s="296">
        <v>517423</v>
      </c>
      <c r="EG96" s="477">
        <v>1.9706081166505121</v>
      </c>
      <c r="EH96" s="594">
        <v>502214.9635416579</v>
      </c>
      <c r="EI96" s="286">
        <v>1019637.9635416579</v>
      </c>
      <c r="EJ96" s="472">
        <f t="shared" si="98"/>
        <v>0.50745756680416143</v>
      </c>
      <c r="EK96" s="472">
        <f t="shared" si="99"/>
        <v>0.49254243319583857</v>
      </c>
      <c r="EL96" s="596">
        <f t="shared" si="97"/>
        <v>3.7050261214799651E-2</v>
      </c>
      <c r="EM96" s="453">
        <v>24</v>
      </c>
      <c r="EN96" s="453">
        <v>187.41666666666666</v>
      </c>
      <c r="EO96" s="453">
        <v>80.416666666666671</v>
      </c>
      <c r="EP96" s="453">
        <v>0.05</v>
      </c>
      <c r="EQ96" s="453">
        <v>265.25</v>
      </c>
      <c r="ER96" s="453">
        <v>32.1</v>
      </c>
      <c r="ES96" s="453">
        <v>0.05</v>
      </c>
      <c r="ET96" s="453">
        <v>499.99950000000001</v>
      </c>
      <c r="EU96" s="453">
        <v>102.45</v>
      </c>
      <c r="EV96" s="453">
        <v>83.444147245097341</v>
      </c>
      <c r="FH96">
        <v>1</v>
      </c>
      <c r="FI96" t="s">
        <v>812</v>
      </c>
      <c r="FJ96" t="s">
        <v>813</v>
      </c>
      <c r="FK96" t="s">
        <v>687</v>
      </c>
      <c r="FL96" s="286">
        <v>460</v>
      </c>
      <c r="FM96" s="286">
        <v>40560</v>
      </c>
      <c r="FN96" s="286">
        <v>2606640</v>
      </c>
      <c r="FO96" s="286">
        <v>2169233</v>
      </c>
      <c r="FP96">
        <v>3</v>
      </c>
      <c r="FQ96" s="925">
        <v>679.18710494589243</v>
      </c>
      <c r="FR96" s="926">
        <v>27547828.976605397</v>
      </c>
      <c r="FS96">
        <v>0</v>
      </c>
    </row>
    <row r="97" spans="1:175" ht="16" customHeight="1">
      <c r="A97">
        <v>2018</v>
      </c>
      <c r="B97">
        <v>2670</v>
      </c>
      <c r="C97" t="s">
        <v>257</v>
      </c>
      <c r="D97" t="s">
        <v>245</v>
      </c>
      <c r="E97" s="203">
        <v>92</v>
      </c>
      <c r="F97" s="203" t="s">
        <v>246</v>
      </c>
      <c r="G97" s="203" t="s">
        <v>247</v>
      </c>
      <c r="H97" s="204" t="s">
        <v>249</v>
      </c>
      <c r="I97" s="202">
        <v>0</v>
      </c>
      <c r="J97" s="202">
        <v>0</v>
      </c>
      <c r="K97" s="202">
        <v>0</v>
      </c>
      <c r="L97" s="253"/>
      <c r="M97" s="254">
        <v>2019</v>
      </c>
      <c r="N97" s="254">
        <v>3050</v>
      </c>
      <c r="O97" s="255" t="s">
        <v>254</v>
      </c>
      <c r="P97" s="254">
        <v>410</v>
      </c>
      <c r="Q97" s="254">
        <v>225</v>
      </c>
      <c r="R97" s="255" t="s">
        <v>36</v>
      </c>
      <c r="S97" s="255" t="s">
        <v>201</v>
      </c>
      <c r="T97" s="350">
        <v>0</v>
      </c>
      <c r="U97" s="350">
        <v>0</v>
      </c>
      <c r="V97" s="350">
        <v>0</v>
      </c>
      <c r="W97" s="350">
        <v>2762000</v>
      </c>
      <c r="X97" s="350">
        <v>2762000</v>
      </c>
      <c r="AA97" s="272">
        <v>2019</v>
      </c>
      <c r="AB97" s="272">
        <v>3050</v>
      </c>
      <c r="AC97" s="273" t="s">
        <v>254</v>
      </c>
      <c r="AD97" s="272" t="s">
        <v>489</v>
      </c>
      <c r="AE97" s="272">
        <v>40</v>
      </c>
      <c r="AF97" s="274" t="s">
        <v>391</v>
      </c>
      <c r="AG97" s="272">
        <v>4154</v>
      </c>
      <c r="AH97" s="272">
        <v>0</v>
      </c>
      <c r="AI97" s="272">
        <v>4190</v>
      </c>
      <c r="AJ97" s="272">
        <v>0</v>
      </c>
      <c r="AK97" s="272">
        <v>440863</v>
      </c>
      <c r="AL97" s="352">
        <v>105.21789976133651</v>
      </c>
      <c r="AX97" s="254">
        <v>2019</v>
      </c>
      <c r="AY97" s="254">
        <v>3410</v>
      </c>
      <c r="AZ97" s="255" t="s">
        <v>253</v>
      </c>
      <c r="BA97" s="254">
        <v>410</v>
      </c>
      <c r="BB97" s="254">
        <v>320</v>
      </c>
      <c r="BC97" s="255" t="s">
        <v>555</v>
      </c>
      <c r="BD97" s="255" t="s">
        <v>202</v>
      </c>
      <c r="BE97" s="350">
        <v>0</v>
      </c>
      <c r="BF97" s="350">
        <v>0</v>
      </c>
      <c r="BG97" s="350">
        <v>-95000</v>
      </c>
      <c r="BH97" s="350">
        <v>0</v>
      </c>
      <c r="BI97" s="350">
        <v>-95000</v>
      </c>
      <c r="BK97" s="272">
        <v>2019</v>
      </c>
      <c r="BL97" s="272">
        <v>3680</v>
      </c>
      <c r="BM97" s="273" t="s">
        <v>252</v>
      </c>
      <c r="BN97" s="272" t="s">
        <v>588</v>
      </c>
      <c r="BO97" s="272">
        <v>63</v>
      </c>
      <c r="BP97" s="441" t="s">
        <v>593</v>
      </c>
      <c r="BQ97" s="272">
        <v>0</v>
      </c>
      <c r="BR97" s="272">
        <v>0</v>
      </c>
      <c r="BS97" s="272">
        <v>0</v>
      </c>
      <c r="BT97" s="272">
        <v>0</v>
      </c>
      <c r="BU97" s="272">
        <v>0</v>
      </c>
      <c r="BV97" s="272">
        <v>0</v>
      </c>
      <c r="BY97" s="581" t="s">
        <v>739</v>
      </c>
      <c r="BZ97" s="584" t="s">
        <v>740</v>
      </c>
      <c r="CA97" s="16"/>
      <c r="CB97" s="488"/>
      <c r="CC97" s="569">
        <v>471040</v>
      </c>
      <c r="CD97" s="569">
        <v>5744680</v>
      </c>
      <c r="CE97" s="570">
        <v>519928460</v>
      </c>
      <c r="CF97" s="571">
        <v>345228989</v>
      </c>
      <c r="CM97" s="299">
        <v>2019</v>
      </c>
      <c r="CN97" s="299">
        <v>1370</v>
      </c>
      <c r="CO97" s="300" t="s">
        <v>255</v>
      </c>
      <c r="CP97" s="299">
        <v>755</v>
      </c>
      <c r="CQ97" s="299">
        <v>64</v>
      </c>
      <c r="CR97" s="294" t="s">
        <v>385</v>
      </c>
      <c r="CS97" s="294" t="s">
        <v>410</v>
      </c>
      <c r="CT97" s="294" t="s">
        <v>411</v>
      </c>
      <c r="CU97" s="301">
        <v>639131000</v>
      </c>
      <c r="DB97">
        <f t="shared" ref="DB97:DB160" si="100">VALUE(LEFT(DC97,2))</f>
        <v>20</v>
      </c>
      <c r="DC97" s="595" t="s">
        <v>824</v>
      </c>
      <c r="DD97" s="595" t="s">
        <v>825</v>
      </c>
      <c r="DE97" s="595" t="s">
        <v>687</v>
      </c>
      <c r="DF97" s="286">
        <v>2440</v>
      </c>
      <c r="DG97" s="286">
        <v>190880</v>
      </c>
      <c r="DH97" s="286">
        <v>14639760</v>
      </c>
      <c r="DI97" s="286">
        <v>9879123</v>
      </c>
      <c r="DJ97">
        <v>6</v>
      </c>
      <c r="DK97" s="643">
        <f t="shared" si="74"/>
        <v>1380.3735792495058</v>
      </c>
      <c r="DL97" s="408">
        <f t="shared" si="75"/>
        <v>263485708.80714568</v>
      </c>
      <c r="DM97" s="286"/>
      <c r="DN97" s="286"/>
      <c r="EC97" s="289" t="s">
        <v>688</v>
      </c>
      <c r="ED97" s="296">
        <v>293496</v>
      </c>
      <c r="EE97" s="478">
        <v>1</v>
      </c>
      <c r="EF97" s="296">
        <v>293496</v>
      </c>
      <c r="EG97" s="477">
        <v>1.987832589432553</v>
      </c>
      <c r="EH97" s="594">
        <v>289924.91366809659</v>
      </c>
      <c r="EI97" s="286">
        <v>583420.91366809653</v>
      </c>
      <c r="EJ97" s="472">
        <f t="shared" si="98"/>
        <v>0.50306047164940593</v>
      </c>
      <c r="EK97" s="472">
        <f t="shared" si="99"/>
        <v>0.49693952835059407</v>
      </c>
      <c r="EL97" s="596">
        <f t="shared" si="97"/>
        <v>2.1199580657529062E-2</v>
      </c>
      <c r="EM97" s="453">
        <v>28.583333333333332</v>
      </c>
      <c r="EN97" s="453">
        <v>111.5</v>
      </c>
      <c r="EO97" s="453">
        <v>57.666666666666664</v>
      </c>
      <c r="EP97" s="453">
        <v>18.8</v>
      </c>
      <c r="EQ97" s="453">
        <v>67.5</v>
      </c>
      <c r="ER97" s="453">
        <v>34.1</v>
      </c>
      <c r="ES97" s="453">
        <v>35</v>
      </c>
      <c r="ET97" s="453">
        <v>251.65</v>
      </c>
      <c r="EU97" s="453">
        <v>106.5</v>
      </c>
      <c r="EV97" s="453">
        <v>95.560433532313894</v>
      </c>
      <c r="EW97" s="453"/>
      <c r="FH97">
        <v>1</v>
      </c>
      <c r="FI97" t="s">
        <v>808</v>
      </c>
      <c r="FJ97" t="s">
        <v>809</v>
      </c>
      <c r="FK97" t="s">
        <v>687</v>
      </c>
      <c r="FL97" s="286">
        <v>1960</v>
      </c>
      <c r="FM97" s="286">
        <v>160320</v>
      </c>
      <c r="FN97" s="286">
        <v>9080560</v>
      </c>
      <c r="FO97" s="286">
        <v>6540245</v>
      </c>
      <c r="FP97">
        <v>4</v>
      </c>
      <c r="FQ97" s="925">
        <v>372.51982588160462</v>
      </c>
      <c r="FR97" s="926">
        <v>59722378.485338852</v>
      </c>
      <c r="FS97">
        <v>0</v>
      </c>
    </row>
    <row r="98" spans="1:175" ht="16" customHeight="1">
      <c r="A98">
        <v>2018</v>
      </c>
      <c r="B98">
        <v>2670</v>
      </c>
      <c r="C98" t="s">
        <v>257</v>
      </c>
      <c r="D98" t="s">
        <v>245</v>
      </c>
      <c r="E98" s="203">
        <v>93</v>
      </c>
      <c r="F98" s="203" t="s">
        <v>250</v>
      </c>
      <c r="G98" s="203" t="s">
        <v>247</v>
      </c>
      <c r="H98" s="203" t="s">
        <v>248</v>
      </c>
      <c r="I98" s="202">
        <v>0</v>
      </c>
      <c r="J98" s="202">
        <v>0</v>
      </c>
      <c r="K98" s="202">
        <v>0</v>
      </c>
      <c r="L98" s="253"/>
      <c r="M98" s="254">
        <v>2019</v>
      </c>
      <c r="N98" s="254">
        <v>3050</v>
      </c>
      <c r="O98" s="255" t="s">
        <v>254</v>
      </c>
      <c r="P98" s="254">
        <v>410</v>
      </c>
      <c r="Q98" s="254">
        <v>226</v>
      </c>
      <c r="R98" s="255" t="s">
        <v>36</v>
      </c>
      <c r="S98" s="255" t="s">
        <v>137</v>
      </c>
      <c r="T98" s="350">
        <v>0</v>
      </c>
      <c r="U98" s="350">
        <v>0</v>
      </c>
      <c r="V98" s="350">
        <v>232799000</v>
      </c>
      <c r="W98" s="350">
        <v>0</v>
      </c>
      <c r="X98" s="350">
        <v>232799000</v>
      </c>
      <c r="AA98" s="272">
        <v>2019</v>
      </c>
      <c r="AB98" s="272">
        <v>3050</v>
      </c>
      <c r="AC98" s="273" t="s">
        <v>254</v>
      </c>
      <c r="AD98" s="272" t="s">
        <v>489</v>
      </c>
      <c r="AE98" s="272">
        <v>41</v>
      </c>
      <c r="AF98" s="274" t="s">
        <v>392</v>
      </c>
      <c r="AG98" s="272">
        <v>31867</v>
      </c>
      <c r="AH98" s="272">
        <v>0</v>
      </c>
      <c r="AI98" s="272">
        <v>32520</v>
      </c>
      <c r="AJ98" s="272">
        <v>0</v>
      </c>
      <c r="AK98" s="272">
        <v>3570264</v>
      </c>
      <c r="AL98" s="352">
        <v>109.78671586715868</v>
      </c>
      <c r="AX98" s="254">
        <v>2019</v>
      </c>
      <c r="AY98" s="254">
        <v>3410</v>
      </c>
      <c r="AZ98" s="255" t="s">
        <v>253</v>
      </c>
      <c r="BA98" s="254">
        <v>410</v>
      </c>
      <c r="BB98" s="254">
        <v>321</v>
      </c>
      <c r="BC98" s="255" t="s">
        <v>555</v>
      </c>
      <c r="BD98" s="255" t="s">
        <v>156</v>
      </c>
      <c r="BE98" s="350">
        <v>0</v>
      </c>
      <c r="BF98" s="350">
        <v>0</v>
      </c>
      <c r="BG98" s="350">
        <v>0</v>
      </c>
      <c r="BH98" s="350">
        <v>0</v>
      </c>
      <c r="BI98" s="350">
        <v>0</v>
      </c>
      <c r="BK98" s="272">
        <v>2019</v>
      </c>
      <c r="BL98" s="272">
        <v>3680</v>
      </c>
      <c r="BM98" s="273" t="s">
        <v>252</v>
      </c>
      <c r="BN98" s="272" t="s">
        <v>588</v>
      </c>
      <c r="BO98" s="272">
        <v>64</v>
      </c>
      <c r="BP98" s="441" t="s">
        <v>594</v>
      </c>
      <c r="BQ98" s="272">
        <v>0</v>
      </c>
      <c r="BR98" s="272">
        <v>0</v>
      </c>
      <c r="BS98" s="272">
        <v>0</v>
      </c>
      <c r="BT98" s="272">
        <v>0</v>
      </c>
      <c r="BU98" s="272">
        <v>0</v>
      </c>
      <c r="BV98" s="272">
        <v>0</v>
      </c>
      <c r="BY98" s="581" t="s">
        <v>741</v>
      </c>
      <c r="BZ98" s="584" t="s">
        <v>742</v>
      </c>
      <c r="CA98" s="16"/>
      <c r="CB98" s="488"/>
      <c r="CC98" s="569">
        <v>50960</v>
      </c>
      <c r="CD98" s="569">
        <v>798880</v>
      </c>
      <c r="CE98" s="570">
        <v>53460960</v>
      </c>
      <c r="CF98" s="571">
        <v>40523107</v>
      </c>
      <c r="CM98" s="299">
        <v>2019</v>
      </c>
      <c r="CN98" s="299">
        <v>1370</v>
      </c>
      <c r="CO98" s="300" t="s">
        <v>255</v>
      </c>
      <c r="CP98" s="299">
        <v>755</v>
      </c>
      <c r="CQ98" s="299">
        <v>65</v>
      </c>
      <c r="CR98" s="294" t="s">
        <v>385</v>
      </c>
      <c r="CS98" s="294" t="s">
        <v>412</v>
      </c>
      <c r="CT98" s="294" t="s">
        <v>387</v>
      </c>
      <c r="CU98" s="301">
        <v>0</v>
      </c>
      <c r="DB98">
        <f t="shared" si="100"/>
        <v>20</v>
      </c>
      <c r="DC98" s="595" t="s">
        <v>824</v>
      </c>
      <c r="DD98" s="595" t="s">
        <v>825</v>
      </c>
      <c r="DE98" s="595" t="s">
        <v>690</v>
      </c>
      <c r="DF98" s="286">
        <v>6328</v>
      </c>
      <c r="DG98" s="286">
        <v>632568</v>
      </c>
      <c r="DH98" s="286">
        <v>30770096</v>
      </c>
      <c r="DI98" s="286">
        <v>15803911</v>
      </c>
      <c r="DJ98">
        <v>6</v>
      </c>
      <c r="DK98" s="643">
        <f t="shared" ref="DK98:DK161" si="101">VLOOKUP($DJ98,$DC$341:$DG$383,5)</f>
        <v>1380.3735792495058</v>
      </c>
      <c r="DL98" s="408">
        <f t="shared" ref="DL98:DL161" si="102">DK98*DG98</f>
        <v>873180154.27870142</v>
      </c>
      <c r="DM98" s="286"/>
      <c r="DN98" s="286"/>
      <c r="EC98" s="289" t="s">
        <v>691</v>
      </c>
      <c r="ED98" s="296">
        <v>758141</v>
      </c>
      <c r="EE98" s="478">
        <v>1</v>
      </c>
      <c r="EF98" s="296">
        <v>758141</v>
      </c>
      <c r="EG98" s="477">
        <v>2.0178512661050467</v>
      </c>
      <c r="EH98" s="594">
        <v>771674.77673614619</v>
      </c>
      <c r="EI98" s="286">
        <v>1529815.7767361463</v>
      </c>
      <c r="EJ98" s="472">
        <f t="shared" si="98"/>
        <v>0.49557666454289662</v>
      </c>
      <c r="EK98" s="472">
        <f t="shared" si="99"/>
        <v>0.50442333545710338</v>
      </c>
      <c r="EL98" s="596">
        <f t="shared" si="97"/>
        <v>5.5588430565806549E-2</v>
      </c>
      <c r="EM98" s="453">
        <v>32.333333333333336</v>
      </c>
      <c r="EN98" s="453">
        <v>75.583333333333329</v>
      </c>
      <c r="EO98" s="453">
        <v>51</v>
      </c>
      <c r="EP98" s="453">
        <v>17</v>
      </c>
      <c r="EQ98" s="453">
        <v>45.9</v>
      </c>
      <c r="ER98" s="453">
        <v>28.4</v>
      </c>
      <c r="ES98" s="453">
        <v>70</v>
      </c>
      <c r="ET98" s="453">
        <v>122.5</v>
      </c>
      <c r="EU98" s="453">
        <v>112.45</v>
      </c>
      <c r="EV98" s="453">
        <v>101.80793282516049</v>
      </c>
      <c r="EW98" s="453"/>
      <c r="FH98">
        <v>20</v>
      </c>
      <c r="FI98" t="s">
        <v>822</v>
      </c>
      <c r="FJ98" t="s">
        <v>823</v>
      </c>
      <c r="FK98" t="s">
        <v>687</v>
      </c>
      <c r="FL98" s="286">
        <v>1320</v>
      </c>
      <c r="FM98" s="286">
        <v>107560</v>
      </c>
      <c r="FN98" s="286">
        <v>5477480.0000000009</v>
      </c>
      <c r="FO98" s="286">
        <v>3376567</v>
      </c>
      <c r="FP98">
        <v>4</v>
      </c>
      <c r="FQ98" s="925">
        <v>372.51982588160462</v>
      </c>
      <c r="FR98" s="926">
        <v>40068232.471825391</v>
      </c>
      <c r="FS98">
        <v>0</v>
      </c>
    </row>
    <row r="99" spans="1:175" ht="16" customHeight="1">
      <c r="A99">
        <v>2018</v>
      </c>
      <c r="B99">
        <v>2670</v>
      </c>
      <c r="C99" t="s">
        <v>257</v>
      </c>
      <c r="D99" t="s">
        <v>245</v>
      </c>
      <c r="E99" s="203">
        <v>94</v>
      </c>
      <c r="F99" s="203" t="s">
        <v>250</v>
      </c>
      <c r="G99" s="203" t="s">
        <v>247</v>
      </c>
      <c r="H99" s="204" t="s">
        <v>249</v>
      </c>
      <c r="I99" s="202">
        <v>0</v>
      </c>
      <c r="J99" s="202">
        <v>0</v>
      </c>
      <c r="K99" s="202">
        <v>0</v>
      </c>
      <c r="L99" s="253"/>
      <c r="M99" s="254">
        <v>2019</v>
      </c>
      <c r="N99" s="254">
        <v>3050</v>
      </c>
      <c r="O99" s="255" t="s">
        <v>254</v>
      </c>
      <c r="P99" s="254">
        <v>410</v>
      </c>
      <c r="Q99" s="254">
        <v>227</v>
      </c>
      <c r="R99" s="255" t="s">
        <v>36</v>
      </c>
      <c r="S99" s="255" t="s">
        <v>138</v>
      </c>
      <c r="T99" s="350">
        <v>0</v>
      </c>
      <c r="U99" s="350">
        <v>0</v>
      </c>
      <c r="V99" s="350">
        <v>0</v>
      </c>
      <c r="W99" s="350">
        <v>0</v>
      </c>
      <c r="X99" s="350">
        <v>0</v>
      </c>
      <c r="AA99" s="272">
        <v>2019</v>
      </c>
      <c r="AB99" s="272">
        <v>3050</v>
      </c>
      <c r="AC99" s="273" t="s">
        <v>254</v>
      </c>
      <c r="AD99" s="272" t="s">
        <v>489</v>
      </c>
      <c r="AE99" s="272">
        <v>42</v>
      </c>
      <c r="AF99" s="274" t="s">
        <v>393</v>
      </c>
      <c r="AG99" s="272">
        <v>4527</v>
      </c>
      <c r="AH99" s="272">
        <v>0</v>
      </c>
      <c r="AI99" s="272">
        <v>4441</v>
      </c>
      <c r="AJ99" s="272">
        <v>0</v>
      </c>
      <c r="AK99" s="272">
        <v>452673</v>
      </c>
      <c r="AL99" s="352">
        <v>101.93042107633416</v>
      </c>
      <c r="AX99" s="254">
        <v>2019</v>
      </c>
      <c r="AY99" s="254">
        <v>3410</v>
      </c>
      <c r="AZ99" s="255" t="s">
        <v>253</v>
      </c>
      <c r="BA99" s="254">
        <v>410</v>
      </c>
      <c r="BB99" s="254">
        <v>322</v>
      </c>
      <c r="BC99" s="255" t="s">
        <v>555</v>
      </c>
      <c r="BD99" s="255" t="s">
        <v>158</v>
      </c>
      <c r="BE99" s="350">
        <v>0</v>
      </c>
      <c r="BF99" s="350">
        <v>2000</v>
      </c>
      <c r="BG99" s="350">
        <v>2088000</v>
      </c>
      <c r="BH99" s="350">
        <v>0</v>
      </c>
      <c r="BI99" s="350">
        <v>2090000</v>
      </c>
      <c r="BK99" s="272">
        <v>2019</v>
      </c>
      <c r="BL99" s="272">
        <v>3680</v>
      </c>
      <c r="BM99" s="273" t="s">
        <v>252</v>
      </c>
      <c r="BN99" s="272" t="s">
        <v>588</v>
      </c>
      <c r="BO99" s="272">
        <v>65</v>
      </c>
      <c r="BP99" s="441" t="s">
        <v>595</v>
      </c>
      <c r="BQ99" s="272">
        <v>0</v>
      </c>
      <c r="BR99" s="272">
        <v>0</v>
      </c>
      <c r="BS99" s="272">
        <v>0</v>
      </c>
      <c r="BT99" s="272">
        <v>0</v>
      </c>
      <c r="BU99" s="272">
        <v>0</v>
      </c>
      <c r="BV99" s="272">
        <v>0</v>
      </c>
      <c r="BY99" s="581" t="s">
        <v>743</v>
      </c>
      <c r="BZ99" s="584" t="s">
        <v>744</v>
      </c>
      <c r="CA99" s="16"/>
      <c r="CB99" s="488"/>
      <c r="CC99" s="569">
        <v>180040</v>
      </c>
      <c r="CD99" s="569">
        <v>2328960</v>
      </c>
      <c r="CE99" s="570">
        <v>196524988</v>
      </c>
      <c r="CF99" s="571">
        <v>141903726</v>
      </c>
      <c r="CM99" s="299">
        <v>2019</v>
      </c>
      <c r="CN99" s="299">
        <v>1370</v>
      </c>
      <c r="CO99" s="300" t="s">
        <v>255</v>
      </c>
      <c r="CP99" s="299">
        <v>755</v>
      </c>
      <c r="CQ99" s="299">
        <v>66</v>
      </c>
      <c r="CR99" s="294" t="s">
        <v>385</v>
      </c>
      <c r="CS99" s="294" t="s">
        <v>412</v>
      </c>
      <c r="CT99" s="294" t="s">
        <v>388</v>
      </c>
      <c r="CU99" s="301">
        <v>1202000</v>
      </c>
      <c r="DB99">
        <f t="shared" si="100"/>
        <v>20</v>
      </c>
      <c r="DC99" s="595" t="s">
        <v>943</v>
      </c>
      <c r="DD99" s="595" t="s">
        <v>944</v>
      </c>
      <c r="DE99" s="595" t="s">
        <v>690</v>
      </c>
      <c r="DF99" s="286">
        <v>5836</v>
      </c>
      <c r="DG99" s="286">
        <v>600248</v>
      </c>
      <c r="DH99" s="286">
        <v>28753892</v>
      </c>
      <c r="DI99" s="286">
        <v>14550525.000000002</v>
      </c>
      <c r="DJ99">
        <v>6</v>
      </c>
      <c r="DK99" s="643">
        <f t="shared" si="101"/>
        <v>1380.3735792495058</v>
      </c>
      <c r="DL99" s="408">
        <f t="shared" si="102"/>
        <v>828566480.19735742</v>
      </c>
      <c r="DM99" s="286"/>
      <c r="DN99" s="286"/>
      <c r="EC99" s="289" t="s">
        <v>701</v>
      </c>
      <c r="ED99" s="296">
        <v>10888</v>
      </c>
      <c r="EE99" s="478">
        <v>1</v>
      </c>
      <c r="EF99" s="296">
        <v>10888</v>
      </c>
      <c r="EG99" s="477">
        <v>1.3469322412893829</v>
      </c>
      <c r="EH99" s="594">
        <v>3777.3982431588015</v>
      </c>
      <c r="EI99" s="286">
        <v>14665.398243158801</v>
      </c>
      <c r="EJ99" s="472">
        <f t="shared" si="98"/>
        <v>0.74242784406342988</v>
      </c>
      <c r="EK99" s="472">
        <f t="shared" si="99"/>
        <v>0.25757215593657012</v>
      </c>
      <c r="EL99" s="596">
        <f t="shared" si="97"/>
        <v>5.3289192356155174E-4</v>
      </c>
      <c r="EM99" s="453">
        <v>45.833333333333336</v>
      </c>
      <c r="EN99" s="453">
        <v>264.66666666666669</v>
      </c>
      <c r="EO99" s="453">
        <v>87.75</v>
      </c>
      <c r="EP99" s="453">
        <v>22.4</v>
      </c>
      <c r="EQ99" s="453">
        <v>399.6</v>
      </c>
      <c r="ER99" s="453">
        <v>32.299999999999997</v>
      </c>
      <c r="ES99" s="453">
        <v>23.9</v>
      </c>
      <c r="ET99" s="453">
        <v>375</v>
      </c>
      <c r="EU99" s="453">
        <v>111.9</v>
      </c>
      <c r="EV99" s="453">
        <v>98.208302718589266</v>
      </c>
      <c r="EW99" s="453"/>
      <c r="FH99">
        <v>20</v>
      </c>
      <c r="FI99" t="s">
        <v>818</v>
      </c>
      <c r="FJ99" t="s">
        <v>819</v>
      </c>
      <c r="FK99" t="s">
        <v>687</v>
      </c>
      <c r="FL99" s="286">
        <v>4160</v>
      </c>
      <c r="FM99" s="286">
        <v>341200.00000000006</v>
      </c>
      <c r="FN99" s="286">
        <v>14407600</v>
      </c>
      <c r="FO99" s="286">
        <v>8388359</v>
      </c>
      <c r="FP99">
        <v>6</v>
      </c>
      <c r="FQ99" s="925">
        <v>1380.3735792495058</v>
      </c>
      <c r="FR99" s="926">
        <v>470983465.23993146</v>
      </c>
      <c r="FS99">
        <v>0</v>
      </c>
    </row>
    <row r="100" spans="1:175" ht="16" customHeight="1">
      <c r="A100">
        <v>2018</v>
      </c>
      <c r="B100">
        <v>2670</v>
      </c>
      <c r="C100" t="s">
        <v>257</v>
      </c>
      <c r="D100" t="s">
        <v>245</v>
      </c>
      <c r="E100" s="203">
        <v>95</v>
      </c>
      <c r="F100" s="203" t="s">
        <v>256</v>
      </c>
      <c r="G100" s="203" t="s">
        <v>247</v>
      </c>
      <c r="H100" s="203" t="s">
        <v>248</v>
      </c>
      <c r="I100" s="202">
        <v>3</v>
      </c>
      <c r="J100" s="202">
        <v>193</v>
      </c>
      <c r="K100" s="202">
        <v>7288000</v>
      </c>
      <c r="L100" s="253"/>
      <c r="M100" s="254">
        <v>2019</v>
      </c>
      <c r="N100" s="254">
        <v>3050</v>
      </c>
      <c r="O100" s="255" t="s">
        <v>254</v>
      </c>
      <c r="P100" s="254">
        <v>410</v>
      </c>
      <c r="Q100" s="254">
        <v>228</v>
      </c>
      <c r="R100" s="255" t="s">
        <v>36</v>
      </c>
      <c r="S100" s="255" t="s">
        <v>139</v>
      </c>
      <c r="T100" s="350">
        <v>0</v>
      </c>
      <c r="U100" s="350">
        <v>0</v>
      </c>
      <c r="V100" s="350">
        <v>0</v>
      </c>
      <c r="W100" s="350">
        <v>0</v>
      </c>
      <c r="X100" s="350">
        <v>0</v>
      </c>
      <c r="AA100" s="272">
        <v>2019</v>
      </c>
      <c r="AB100" s="272">
        <v>3050</v>
      </c>
      <c r="AC100" s="273" t="s">
        <v>254</v>
      </c>
      <c r="AD100" s="272" t="s">
        <v>489</v>
      </c>
      <c r="AE100" s="272">
        <v>43</v>
      </c>
      <c r="AF100" s="274" t="s">
        <v>394</v>
      </c>
      <c r="AG100" s="272">
        <v>5006</v>
      </c>
      <c r="AH100" s="272">
        <v>0</v>
      </c>
      <c r="AI100" s="272">
        <v>4317</v>
      </c>
      <c r="AJ100" s="272">
        <v>0</v>
      </c>
      <c r="AK100" s="272">
        <v>488499</v>
      </c>
      <c r="AL100" s="352">
        <v>113.15705350938151</v>
      </c>
      <c r="AX100" s="254">
        <v>2019</v>
      </c>
      <c r="AY100" s="254">
        <v>3410</v>
      </c>
      <c r="AZ100" s="255" t="s">
        <v>253</v>
      </c>
      <c r="BA100" s="254">
        <v>410</v>
      </c>
      <c r="BB100" s="254">
        <v>323</v>
      </c>
      <c r="BC100" s="255" t="s">
        <v>555</v>
      </c>
      <c r="BD100" s="255" t="s">
        <v>562</v>
      </c>
      <c r="BE100" s="350">
        <v>0</v>
      </c>
      <c r="BF100" s="350">
        <v>1537000</v>
      </c>
      <c r="BG100" s="350">
        <v>12096000</v>
      </c>
      <c r="BH100" s="350">
        <v>26686000</v>
      </c>
      <c r="BI100" s="350">
        <v>40319000</v>
      </c>
      <c r="BK100" s="272">
        <v>2019</v>
      </c>
      <c r="BL100" s="272">
        <v>3680</v>
      </c>
      <c r="BM100" s="273" t="s">
        <v>252</v>
      </c>
      <c r="BN100" s="272" t="s">
        <v>588</v>
      </c>
      <c r="BO100" s="272">
        <v>66</v>
      </c>
      <c r="BP100" s="441" t="s">
        <v>596</v>
      </c>
      <c r="BQ100" s="272">
        <v>0</v>
      </c>
      <c r="BR100" s="272">
        <v>0</v>
      </c>
      <c r="BS100" s="272">
        <v>0</v>
      </c>
      <c r="BT100" s="272">
        <v>0</v>
      </c>
      <c r="BU100" s="272">
        <v>0</v>
      </c>
      <c r="BV100" s="272">
        <v>0</v>
      </c>
      <c r="BY100" s="581" t="s">
        <v>745</v>
      </c>
      <c r="BZ100" s="584" t="s">
        <v>746</v>
      </c>
      <c r="CA100" s="16"/>
      <c r="CB100" s="488"/>
      <c r="CC100" s="569">
        <v>354520</v>
      </c>
      <c r="CD100" s="569">
        <v>5325880</v>
      </c>
      <c r="CE100" s="570">
        <v>311109851</v>
      </c>
      <c r="CF100" s="571">
        <v>272472531</v>
      </c>
      <c r="CM100" s="299">
        <v>2019</v>
      </c>
      <c r="CN100" s="299">
        <v>1370</v>
      </c>
      <c r="CO100" s="300" t="s">
        <v>255</v>
      </c>
      <c r="CP100" s="299">
        <v>755</v>
      </c>
      <c r="CQ100" s="299">
        <v>67</v>
      </c>
      <c r="CR100" s="294" t="s">
        <v>385</v>
      </c>
      <c r="CS100" s="294" t="s">
        <v>412</v>
      </c>
      <c r="CT100" s="294" t="s">
        <v>389</v>
      </c>
      <c r="CU100" s="301">
        <v>10277000</v>
      </c>
      <c r="DB100">
        <f t="shared" si="100"/>
        <v>20</v>
      </c>
      <c r="DC100" s="595" t="s">
        <v>945</v>
      </c>
      <c r="DD100" s="595" t="s">
        <v>946</v>
      </c>
      <c r="DE100" s="595" t="s">
        <v>690</v>
      </c>
      <c r="DF100" s="286">
        <v>1240</v>
      </c>
      <c r="DG100" s="286">
        <v>63400</v>
      </c>
      <c r="DH100" s="286">
        <v>3916600</v>
      </c>
      <c r="DI100" s="286">
        <v>1216313</v>
      </c>
      <c r="DJ100">
        <v>6</v>
      </c>
      <c r="DK100" s="643">
        <f t="shared" si="101"/>
        <v>1380.3735792495058</v>
      </c>
      <c r="DL100" s="408">
        <f t="shared" si="102"/>
        <v>87515684.924418673</v>
      </c>
      <c r="DM100" s="286"/>
      <c r="DN100" s="286"/>
      <c r="EC100" s="289" t="s">
        <v>696</v>
      </c>
      <c r="ED100" s="296">
        <v>9526</v>
      </c>
      <c r="EE100" s="478">
        <v>1</v>
      </c>
      <c r="EF100" s="296">
        <v>9526</v>
      </c>
      <c r="EG100" s="477">
        <v>1.3469322412893829</v>
      </c>
      <c r="EH100" s="594">
        <v>3304.8765305226621</v>
      </c>
      <c r="EI100" s="286">
        <v>12830.876530522663</v>
      </c>
      <c r="EJ100" s="472">
        <f t="shared" si="98"/>
        <v>0.74242784406342976</v>
      </c>
      <c r="EK100" s="472">
        <f t="shared" si="99"/>
        <v>0.25757215593657024</v>
      </c>
      <c r="EL100" s="596">
        <f t="shared" si="97"/>
        <v>4.6623149006680219E-4</v>
      </c>
      <c r="EM100" s="453">
        <v>13</v>
      </c>
      <c r="EN100" s="453">
        <v>872</v>
      </c>
      <c r="EO100" s="453">
        <v>57.083333333333336</v>
      </c>
      <c r="EP100" s="453">
        <v>0</v>
      </c>
      <c r="EQ100" s="453">
        <v>338.75</v>
      </c>
      <c r="ER100" s="453">
        <v>33.75</v>
      </c>
      <c r="ES100" s="453">
        <v>0</v>
      </c>
      <c r="ET100" s="453">
        <v>482</v>
      </c>
      <c r="EU100" s="453">
        <v>85.3</v>
      </c>
      <c r="EV100" s="453">
        <v>77.116628175519637</v>
      </c>
      <c r="EW100" s="453"/>
      <c r="FH100">
        <v>20</v>
      </c>
      <c r="FI100" t="s">
        <v>820</v>
      </c>
      <c r="FJ100" t="s">
        <v>821</v>
      </c>
      <c r="FK100" t="s">
        <v>687</v>
      </c>
      <c r="FL100" s="286">
        <v>1224</v>
      </c>
      <c r="FM100" s="286">
        <v>95116</v>
      </c>
      <c r="FN100" s="286">
        <v>4265024</v>
      </c>
      <c r="FO100" s="286">
        <v>3355222</v>
      </c>
      <c r="FP100">
        <v>6</v>
      </c>
      <c r="FQ100" s="925">
        <v>1380.3735792495058</v>
      </c>
      <c r="FR100" s="926">
        <v>131295613.363896</v>
      </c>
      <c r="FS100">
        <v>0</v>
      </c>
    </row>
    <row r="101" spans="1:175" ht="16" customHeight="1">
      <c r="A101">
        <v>2018</v>
      </c>
      <c r="B101">
        <v>2670</v>
      </c>
      <c r="C101" t="s">
        <v>257</v>
      </c>
      <c r="D101" t="s">
        <v>245</v>
      </c>
      <c r="E101" s="203">
        <v>96</v>
      </c>
      <c r="F101" s="203" t="s">
        <v>256</v>
      </c>
      <c r="G101" s="203" t="s">
        <v>247</v>
      </c>
      <c r="H101" s="204" t="s">
        <v>249</v>
      </c>
      <c r="I101" s="202">
        <v>0</v>
      </c>
      <c r="J101" s="202">
        <v>0</v>
      </c>
      <c r="K101" s="202">
        <v>0</v>
      </c>
      <c r="L101" s="253"/>
      <c r="M101" s="254">
        <v>2019</v>
      </c>
      <c r="N101" s="254">
        <v>3050</v>
      </c>
      <c r="O101" s="255" t="s">
        <v>254</v>
      </c>
      <c r="P101" s="254">
        <v>410</v>
      </c>
      <c r="Q101" s="254">
        <v>229</v>
      </c>
      <c r="R101" s="255" t="s">
        <v>36</v>
      </c>
      <c r="S101" s="255" t="s">
        <v>140</v>
      </c>
      <c r="T101" s="350">
        <v>0</v>
      </c>
      <c r="U101" s="350">
        <v>0</v>
      </c>
      <c r="V101" s="350">
        <v>0</v>
      </c>
      <c r="W101" s="350">
        <v>0</v>
      </c>
      <c r="X101" s="350">
        <v>0</v>
      </c>
      <c r="AA101" s="272">
        <v>2019</v>
      </c>
      <c r="AB101" s="272">
        <v>3050</v>
      </c>
      <c r="AC101" s="273" t="s">
        <v>254</v>
      </c>
      <c r="AD101" s="272" t="s">
        <v>489</v>
      </c>
      <c r="AE101" s="272">
        <v>44</v>
      </c>
      <c r="AF101" s="274" t="s">
        <v>395</v>
      </c>
      <c r="AG101" s="272">
        <v>975</v>
      </c>
      <c r="AH101" s="272">
        <v>0</v>
      </c>
      <c r="AI101" s="272">
        <v>971</v>
      </c>
      <c r="AJ101" s="272">
        <v>0</v>
      </c>
      <c r="AK101" s="272">
        <v>87593</v>
      </c>
      <c r="AL101" s="352">
        <v>90.209062821833157</v>
      </c>
      <c r="AX101" s="254">
        <v>2019</v>
      </c>
      <c r="AY101" s="254">
        <v>3050</v>
      </c>
      <c r="AZ101" s="255" t="s">
        <v>254</v>
      </c>
      <c r="BA101" s="254">
        <v>410</v>
      </c>
      <c r="BB101" s="254">
        <v>301</v>
      </c>
      <c r="BC101" s="255" t="s">
        <v>555</v>
      </c>
      <c r="BD101" s="255" t="s">
        <v>203</v>
      </c>
      <c r="BE101" s="350">
        <v>1027000</v>
      </c>
      <c r="BF101" s="350">
        <v>945000</v>
      </c>
      <c r="BG101" s="350">
        <v>1407000</v>
      </c>
      <c r="BH101" s="350">
        <v>779000</v>
      </c>
      <c r="BI101" s="350">
        <v>4158000</v>
      </c>
      <c r="BK101" s="272">
        <v>2019</v>
      </c>
      <c r="BL101" s="272">
        <v>3680</v>
      </c>
      <c r="BM101" s="273" t="s">
        <v>252</v>
      </c>
      <c r="BN101" s="272" t="s">
        <v>588</v>
      </c>
      <c r="BO101" s="272">
        <v>67</v>
      </c>
      <c r="BP101" s="441" t="s">
        <v>597</v>
      </c>
      <c r="BQ101" s="272">
        <v>0</v>
      </c>
      <c r="BR101" s="272">
        <v>0</v>
      </c>
      <c r="BS101" s="272">
        <v>0</v>
      </c>
      <c r="BT101" s="272">
        <v>0</v>
      </c>
      <c r="BU101" s="272">
        <v>0</v>
      </c>
      <c r="BV101" s="272">
        <v>0</v>
      </c>
      <c r="BY101" s="581" t="s">
        <v>747</v>
      </c>
      <c r="BZ101" s="584" t="s">
        <v>748</v>
      </c>
      <c r="CA101" s="16"/>
      <c r="CB101" s="488"/>
      <c r="CC101" s="569">
        <v>19400</v>
      </c>
      <c r="CD101" s="569">
        <v>324080</v>
      </c>
      <c r="CE101" s="570">
        <v>24795440</v>
      </c>
      <c r="CF101" s="571">
        <v>18687979</v>
      </c>
      <c r="CM101" s="299">
        <v>2019</v>
      </c>
      <c r="CN101" s="299">
        <v>1370</v>
      </c>
      <c r="CO101" s="300" t="s">
        <v>255</v>
      </c>
      <c r="CP101" s="299">
        <v>755</v>
      </c>
      <c r="CQ101" s="299">
        <v>68</v>
      </c>
      <c r="CR101" s="294" t="s">
        <v>385</v>
      </c>
      <c r="CS101" s="294" t="s">
        <v>412</v>
      </c>
      <c r="CT101" s="294" t="s">
        <v>390</v>
      </c>
      <c r="CU101" s="301">
        <v>8694000</v>
      </c>
      <c r="DB101">
        <f t="shared" si="100"/>
        <v>20</v>
      </c>
      <c r="DC101" s="595" t="s">
        <v>1099</v>
      </c>
      <c r="DD101" s="595" t="s">
        <v>1100</v>
      </c>
      <c r="DE101" s="595" t="s">
        <v>695</v>
      </c>
      <c r="DF101" s="286">
        <v>127073</v>
      </c>
      <c r="DG101" s="286">
        <v>13153068</v>
      </c>
      <c r="DH101" s="286">
        <v>421180768.00000006</v>
      </c>
      <c r="DI101" s="286">
        <v>276155540.99999994</v>
      </c>
      <c r="DJ101">
        <v>7</v>
      </c>
      <c r="DK101" s="643">
        <f t="shared" si="101"/>
        <v>1047.1475692534934</v>
      </c>
      <c r="DL101" s="408">
        <f t="shared" si="102"/>
        <v>13773203184.425909</v>
      </c>
      <c r="DM101" s="286"/>
      <c r="DN101" s="286"/>
      <c r="EC101" s="289" t="s">
        <v>699</v>
      </c>
      <c r="ED101" s="296">
        <v>422640</v>
      </c>
      <c r="EE101" s="478">
        <v>3.5915986287092889</v>
      </c>
      <c r="EF101" s="296">
        <v>117674.61893476776</v>
      </c>
      <c r="EG101" s="477">
        <v>1.0844039662606211</v>
      </c>
      <c r="EH101" s="594">
        <v>9932.2045663015797</v>
      </c>
      <c r="EI101" s="286">
        <v>127606.82350106933</v>
      </c>
      <c r="EJ101" s="472">
        <f t="shared" si="98"/>
        <v>0.92216556847198428</v>
      </c>
      <c r="EK101" s="472">
        <f t="shared" si="99"/>
        <v>7.7834431528015724E-2</v>
      </c>
      <c r="EL101" s="596">
        <f t="shared" si="97"/>
        <v>4.6368086640119436E-3</v>
      </c>
      <c r="EM101" s="453">
        <v>116.75</v>
      </c>
      <c r="EN101" s="453">
        <v>438.16666666666669</v>
      </c>
      <c r="EO101" s="453">
        <v>290.66666666666669</v>
      </c>
      <c r="EP101" s="453">
        <v>5.75</v>
      </c>
      <c r="EQ101" s="453">
        <v>175.35</v>
      </c>
      <c r="ER101" s="453">
        <v>57.8</v>
      </c>
      <c r="ES101" s="453">
        <v>97.5</v>
      </c>
      <c r="ET101" s="453">
        <v>315</v>
      </c>
      <c r="EU101" s="453">
        <v>168</v>
      </c>
      <c r="EV101" s="453">
        <v>43.60498505497138</v>
      </c>
      <c r="EW101" s="453"/>
      <c r="FH101">
        <v>20</v>
      </c>
      <c r="FI101" t="s">
        <v>824</v>
      </c>
      <c r="FJ101" t="s">
        <v>825</v>
      </c>
      <c r="FK101" t="s">
        <v>687</v>
      </c>
      <c r="FL101" s="286">
        <v>2440</v>
      </c>
      <c r="FM101" s="286">
        <v>190880</v>
      </c>
      <c r="FN101" s="286">
        <v>14639760</v>
      </c>
      <c r="FO101" s="286">
        <v>9879123</v>
      </c>
      <c r="FP101">
        <v>6</v>
      </c>
      <c r="FQ101" s="925">
        <v>1380.3735792495058</v>
      </c>
      <c r="FR101" s="926">
        <v>263485708.80714568</v>
      </c>
      <c r="FS101">
        <v>0</v>
      </c>
    </row>
    <row r="102" spans="1:175" ht="16" customHeight="1">
      <c r="A102">
        <v>2018</v>
      </c>
      <c r="B102">
        <v>2670</v>
      </c>
      <c r="C102" t="s">
        <v>257</v>
      </c>
      <c r="D102" t="s">
        <v>245</v>
      </c>
      <c r="E102" s="203">
        <v>97</v>
      </c>
      <c r="F102" s="203" t="s">
        <v>251</v>
      </c>
      <c r="G102" s="203" t="s">
        <v>247</v>
      </c>
      <c r="H102" s="203" t="s">
        <v>248</v>
      </c>
      <c r="I102" s="202">
        <v>0</v>
      </c>
      <c r="J102" s="202">
        <v>0</v>
      </c>
      <c r="K102" s="202">
        <v>0</v>
      </c>
      <c r="L102" s="253"/>
      <c r="M102" s="254">
        <v>2019</v>
      </c>
      <c r="N102" s="254">
        <v>3050</v>
      </c>
      <c r="O102" s="255" t="s">
        <v>254</v>
      </c>
      <c r="P102" s="254">
        <v>410</v>
      </c>
      <c r="Q102" s="254">
        <v>230</v>
      </c>
      <c r="R102" s="255" t="s">
        <v>36</v>
      </c>
      <c r="S102" s="255" t="s">
        <v>141</v>
      </c>
      <c r="T102" s="350">
        <v>0</v>
      </c>
      <c r="U102" s="350">
        <v>0</v>
      </c>
      <c r="V102" s="350">
        <v>480747000</v>
      </c>
      <c r="W102" s="350">
        <v>0</v>
      </c>
      <c r="X102" s="350">
        <v>480747000</v>
      </c>
      <c r="AA102" s="272">
        <v>2019</v>
      </c>
      <c r="AB102" s="272">
        <v>3050</v>
      </c>
      <c r="AC102" s="273" t="s">
        <v>254</v>
      </c>
      <c r="AD102" s="272" t="s">
        <v>489</v>
      </c>
      <c r="AE102" s="272">
        <v>45</v>
      </c>
      <c r="AF102" s="274" t="s">
        <v>396</v>
      </c>
      <c r="AG102" s="272">
        <v>1626</v>
      </c>
      <c r="AH102" s="272">
        <v>0</v>
      </c>
      <c r="AI102" s="272">
        <v>1552</v>
      </c>
      <c r="AJ102" s="272">
        <v>0</v>
      </c>
      <c r="AK102" s="272">
        <v>132751</v>
      </c>
      <c r="AL102" s="352">
        <v>85.535438144329902</v>
      </c>
      <c r="AX102" s="254">
        <v>2019</v>
      </c>
      <c r="AY102" s="254">
        <v>3050</v>
      </c>
      <c r="AZ102" s="255" t="s">
        <v>254</v>
      </c>
      <c r="BA102" s="254">
        <v>410</v>
      </c>
      <c r="BB102" s="254">
        <v>302</v>
      </c>
      <c r="BC102" s="255" t="s">
        <v>555</v>
      </c>
      <c r="BD102" s="255" t="s">
        <v>556</v>
      </c>
      <c r="BE102" s="350">
        <v>0</v>
      </c>
      <c r="BF102" s="350">
        <v>0</v>
      </c>
      <c r="BG102" s="350">
        <v>4392000</v>
      </c>
      <c r="BH102" s="350">
        <v>0</v>
      </c>
      <c r="BI102" s="350">
        <v>4392000</v>
      </c>
      <c r="BK102" s="272">
        <v>2019</v>
      </c>
      <c r="BL102" s="272">
        <v>3680</v>
      </c>
      <c r="BM102" s="273" t="s">
        <v>252</v>
      </c>
      <c r="BN102" s="272" t="s">
        <v>588</v>
      </c>
      <c r="BO102" s="272">
        <v>68</v>
      </c>
      <c r="BP102" s="441" t="s">
        <v>598</v>
      </c>
      <c r="BQ102" s="272">
        <v>0</v>
      </c>
      <c r="BR102" s="272">
        <v>0</v>
      </c>
      <c r="BS102" s="272">
        <v>0</v>
      </c>
      <c r="BT102" s="272">
        <v>0</v>
      </c>
      <c r="BU102" s="272">
        <v>0</v>
      </c>
      <c r="BV102" s="272">
        <v>0</v>
      </c>
      <c r="BY102" s="581" t="s">
        <v>749</v>
      </c>
      <c r="BZ102" s="584" t="s">
        <v>750</v>
      </c>
      <c r="CA102" s="16"/>
      <c r="CB102" s="488"/>
      <c r="CC102" s="569">
        <v>334720</v>
      </c>
      <c r="CD102" s="569">
        <v>5234080</v>
      </c>
      <c r="CE102" s="570">
        <v>387495377</v>
      </c>
      <c r="CF102" s="571">
        <v>252144458</v>
      </c>
      <c r="CM102" s="299">
        <v>2019</v>
      </c>
      <c r="CN102" s="299">
        <v>1370</v>
      </c>
      <c r="CO102" s="300" t="s">
        <v>255</v>
      </c>
      <c r="CP102" s="299">
        <v>755</v>
      </c>
      <c r="CQ102" s="299">
        <v>69</v>
      </c>
      <c r="CR102" s="294" t="s">
        <v>385</v>
      </c>
      <c r="CS102" s="294" t="s">
        <v>412</v>
      </c>
      <c r="CT102" s="294" t="s">
        <v>391</v>
      </c>
      <c r="CU102" s="301">
        <v>7657000</v>
      </c>
      <c r="DB102">
        <f t="shared" si="100"/>
        <v>20</v>
      </c>
      <c r="DC102" s="595" t="s">
        <v>947</v>
      </c>
      <c r="DD102" s="595" t="s">
        <v>948</v>
      </c>
      <c r="DE102" s="595" t="s">
        <v>690</v>
      </c>
      <c r="DF102" s="286">
        <v>27072</v>
      </c>
      <c r="DG102" s="286">
        <v>2498587.9999999995</v>
      </c>
      <c r="DH102" s="286">
        <v>94974178</v>
      </c>
      <c r="DI102" s="286">
        <v>52437301.999999993</v>
      </c>
      <c r="DJ102">
        <v>7</v>
      </c>
      <c r="DK102" s="643">
        <f t="shared" si="101"/>
        <v>1047.1475692534934</v>
      </c>
      <c r="DL102" s="408">
        <f t="shared" si="102"/>
        <v>2616390350.7659473</v>
      </c>
      <c r="DM102" s="286"/>
      <c r="DN102" s="286"/>
      <c r="EC102" s="289" t="s">
        <v>692</v>
      </c>
      <c r="ED102" s="296">
        <v>40996</v>
      </c>
      <c r="EE102" s="478">
        <v>1</v>
      </c>
      <c r="EF102" s="296">
        <v>40996</v>
      </c>
      <c r="EG102" s="477">
        <v>1.833645867382341</v>
      </c>
      <c r="EH102" s="594">
        <v>34176.145979206456</v>
      </c>
      <c r="EI102" s="286">
        <v>75172.145979206456</v>
      </c>
      <c r="EJ102" s="472">
        <f t="shared" si="98"/>
        <v>0.54536157596644907</v>
      </c>
      <c r="EK102" s="472">
        <f t="shared" si="99"/>
        <v>0.45463842403355093</v>
      </c>
      <c r="EL102" s="596">
        <f t="shared" si="97"/>
        <v>2.731506421095375E-3</v>
      </c>
      <c r="EM102" s="453">
        <v>54.333333333333336</v>
      </c>
      <c r="EN102" s="453">
        <v>83.75</v>
      </c>
      <c r="EO102" s="453">
        <v>75.083333333333329</v>
      </c>
      <c r="EP102" s="453">
        <v>27.25</v>
      </c>
      <c r="EQ102" s="453">
        <v>65.5</v>
      </c>
      <c r="ER102" s="453">
        <v>46.05</v>
      </c>
      <c r="ES102" s="453">
        <v>40</v>
      </c>
      <c r="ET102" s="453">
        <v>115.75</v>
      </c>
      <c r="EU102" s="453">
        <v>89.25</v>
      </c>
      <c r="EV102" s="453">
        <v>67.856473802322171</v>
      </c>
      <c r="EW102" s="453"/>
      <c r="FH102">
        <v>20</v>
      </c>
      <c r="FI102" t="s">
        <v>814</v>
      </c>
      <c r="FJ102" t="s">
        <v>815</v>
      </c>
      <c r="FK102" t="s">
        <v>687</v>
      </c>
      <c r="FL102" s="286">
        <v>1880</v>
      </c>
      <c r="FM102" s="286">
        <v>145079.99999999997</v>
      </c>
      <c r="FN102" s="286">
        <v>12818920</v>
      </c>
      <c r="FO102" s="286">
        <v>8739931.9999999981</v>
      </c>
      <c r="FP102">
        <v>7</v>
      </c>
      <c r="FQ102" s="925">
        <v>1047.1475692534934</v>
      </c>
      <c r="FR102" s="926">
        <v>151920169.3472968</v>
      </c>
      <c r="FS102">
        <v>0</v>
      </c>
    </row>
    <row r="103" spans="1:175" ht="16" customHeight="1">
      <c r="A103">
        <v>2018</v>
      </c>
      <c r="B103">
        <v>2670</v>
      </c>
      <c r="C103" t="s">
        <v>257</v>
      </c>
      <c r="D103" t="s">
        <v>245</v>
      </c>
      <c r="E103" s="203">
        <v>98</v>
      </c>
      <c r="F103" s="203" t="s">
        <v>251</v>
      </c>
      <c r="G103" s="203" t="s">
        <v>247</v>
      </c>
      <c r="H103" s="204" t="s">
        <v>249</v>
      </c>
      <c r="I103" s="202">
        <v>0</v>
      </c>
      <c r="J103" s="202">
        <v>0</v>
      </c>
      <c r="K103" s="202">
        <v>0</v>
      </c>
      <c r="L103" s="253"/>
      <c r="M103" s="254">
        <v>2019</v>
      </c>
      <c r="N103" s="254">
        <v>3050</v>
      </c>
      <c r="O103" s="255" t="s">
        <v>254</v>
      </c>
      <c r="P103" s="254">
        <v>410</v>
      </c>
      <c r="Q103" s="254">
        <v>231</v>
      </c>
      <c r="R103" s="255" t="s">
        <v>36</v>
      </c>
      <c r="S103" s="255" t="s">
        <v>142</v>
      </c>
      <c r="T103" s="350">
        <v>0</v>
      </c>
      <c r="U103" s="350">
        <v>0</v>
      </c>
      <c r="V103" s="350">
        <v>-207346000</v>
      </c>
      <c r="W103" s="350">
        <v>0</v>
      </c>
      <c r="X103" s="350">
        <v>-207346000</v>
      </c>
      <c r="AA103" s="272">
        <v>2019</v>
      </c>
      <c r="AB103" s="272">
        <v>3050</v>
      </c>
      <c r="AC103" s="273" t="s">
        <v>254</v>
      </c>
      <c r="AD103" s="272" t="s">
        <v>489</v>
      </c>
      <c r="AE103" s="272">
        <v>46</v>
      </c>
      <c r="AF103" s="274" t="s">
        <v>397</v>
      </c>
      <c r="AG103" s="272">
        <v>7260</v>
      </c>
      <c r="AH103" s="272">
        <v>0</v>
      </c>
      <c r="AI103" s="272">
        <v>7095</v>
      </c>
      <c r="AJ103" s="272">
        <v>0</v>
      </c>
      <c r="AK103" s="272">
        <v>1615548</v>
      </c>
      <c r="AL103" s="352">
        <v>227.70232558139534</v>
      </c>
      <c r="AX103" s="254">
        <v>2019</v>
      </c>
      <c r="AY103" s="254">
        <v>3050</v>
      </c>
      <c r="AZ103" s="255" t="s">
        <v>254</v>
      </c>
      <c r="BA103" s="254">
        <v>410</v>
      </c>
      <c r="BB103" s="254">
        <v>303</v>
      </c>
      <c r="BC103" s="255" t="s">
        <v>555</v>
      </c>
      <c r="BD103" s="255" t="s">
        <v>557</v>
      </c>
      <c r="BE103" s="350">
        <v>0</v>
      </c>
      <c r="BF103" s="350">
        <v>0</v>
      </c>
      <c r="BG103" s="350">
        <v>0</v>
      </c>
      <c r="BH103" s="350">
        <v>0</v>
      </c>
      <c r="BI103" s="350">
        <v>0</v>
      </c>
      <c r="BK103" s="272">
        <v>2019</v>
      </c>
      <c r="BL103" s="272">
        <v>3680</v>
      </c>
      <c r="BM103" s="273" t="s">
        <v>252</v>
      </c>
      <c r="BN103" s="272" t="s">
        <v>588</v>
      </c>
      <c r="BO103" s="272">
        <v>69</v>
      </c>
      <c r="BP103" s="441" t="s">
        <v>599</v>
      </c>
      <c r="BQ103" s="272">
        <v>0</v>
      </c>
      <c r="BR103" s="272">
        <v>0</v>
      </c>
      <c r="BS103" s="272">
        <v>0</v>
      </c>
      <c r="BT103" s="272">
        <v>0</v>
      </c>
      <c r="BU103" s="272">
        <v>0</v>
      </c>
      <c r="BV103" s="272">
        <v>0</v>
      </c>
      <c r="BY103" s="581" t="s">
        <v>751</v>
      </c>
      <c r="BZ103" s="584" t="s">
        <v>752</v>
      </c>
      <c r="CA103" s="16"/>
      <c r="CB103" s="488"/>
      <c r="CC103" s="569">
        <v>17440</v>
      </c>
      <c r="CD103" s="569">
        <v>317000</v>
      </c>
      <c r="CE103" s="570">
        <v>18412009</v>
      </c>
      <c r="CF103" s="571">
        <v>14855571</v>
      </c>
      <c r="CM103" s="299">
        <v>2019</v>
      </c>
      <c r="CN103" s="299">
        <v>1370</v>
      </c>
      <c r="CO103" s="300" t="s">
        <v>255</v>
      </c>
      <c r="CP103" s="299">
        <v>755</v>
      </c>
      <c r="CQ103" s="299">
        <v>70</v>
      </c>
      <c r="CR103" s="294" t="s">
        <v>385</v>
      </c>
      <c r="CS103" s="294" t="s">
        <v>412</v>
      </c>
      <c r="CT103" s="294" t="s">
        <v>392</v>
      </c>
      <c r="CU103" s="301">
        <v>178989000</v>
      </c>
      <c r="DB103">
        <f t="shared" si="100"/>
        <v>20</v>
      </c>
      <c r="DC103" s="595" t="s">
        <v>949</v>
      </c>
      <c r="DD103" s="595" t="s">
        <v>950</v>
      </c>
      <c r="DE103" s="595" t="s">
        <v>690</v>
      </c>
      <c r="DF103" s="286">
        <v>960</v>
      </c>
      <c r="DG103" s="286">
        <v>85440</v>
      </c>
      <c r="DH103" s="286">
        <v>3096800</v>
      </c>
      <c r="DI103" s="286">
        <v>1288675</v>
      </c>
      <c r="DJ103">
        <v>7</v>
      </c>
      <c r="DK103" s="643">
        <f t="shared" si="101"/>
        <v>1047.1475692534934</v>
      </c>
      <c r="DL103" s="408">
        <f t="shared" si="102"/>
        <v>89468288.317018479</v>
      </c>
      <c r="DM103" s="286"/>
      <c r="DN103" s="286"/>
      <c r="EC103" s="289" t="s">
        <v>700</v>
      </c>
      <c r="ED103" s="296">
        <v>15186300</v>
      </c>
      <c r="EE103" s="478">
        <v>5.10787997781991</v>
      </c>
      <c r="EF103" s="296">
        <v>2973112.1455366798</v>
      </c>
      <c r="EG103" s="477">
        <v>1.0844039662606211</v>
      </c>
      <c r="EH103" s="594">
        <v>250942.45722092065</v>
      </c>
      <c r="EI103" s="286">
        <v>3224054.6027576006</v>
      </c>
      <c r="EJ103" s="472">
        <f t="shared" si="98"/>
        <v>0.92216556847198417</v>
      </c>
      <c r="EK103" s="472">
        <f t="shared" si="99"/>
        <v>7.7834431528015835E-2</v>
      </c>
      <c r="EL103" s="596">
        <f t="shared" si="97"/>
        <v>0.11715144931249506</v>
      </c>
      <c r="EM103" s="453">
        <v>60.083333333333336</v>
      </c>
      <c r="EN103" s="453">
        <v>358.83333333333331</v>
      </c>
      <c r="EO103" s="453">
        <v>203.83333333333334</v>
      </c>
      <c r="EP103" s="453">
        <v>21.75</v>
      </c>
      <c r="EQ103" s="453">
        <v>151.6</v>
      </c>
      <c r="ER103" s="453">
        <v>65.45</v>
      </c>
      <c r="ES103" s="453">
        <v>77.650000000000006</v>
      </c>
      <c r="ET103" s="453">
        <v>420.5</v>
      </c>
      <c r="EU103" s="453">
        <v>175.5</v>
      </c>
      <c r="EV103" s="453">
        <v>66.315297354654589</v>
      </c>
      <c r="EW103" s="453"/>
      <c r="FH103">
        <v>20</v>
      </c>
      <c r="FI103" t="s">
        <v>816</v>
      </c>
      <c r="FJ103" t="s">
        <v>817</v>
      </c>
      <c r="FK103" t="s">
        <v>687</v>
      </c>
      <c r="FL103" s="286">
        <v>15640</v>
      </c>
      <c r="FM103" s="286">
        <v>1230200</v>
      </c>
      <c r="FN103" s="286">
        <v>111507720</v>
      </c>
      <c r="FO103" s="286">
        <v>87433185</v>
      </c>
      <c r="FP103">
        <v>7</v>
      </c>
      <c r="FQ103" s="925">
        <v>1047.1475692534934</v>
      </c>
      <c r="FR103" s="926">
        <v>1288200939.6956477</v>
      </c>
      <c r="FS103">
        <v>0</v>
      </c>
    </row>
    <row r="104" spans="1:175" ht="16" customHeight="1">
      <c r="A104">
        <v>2018</v>
      </c>
      <c r="B104">
        <v>1550</v>
      </c>
      <c r="C104" t="s">
        <v>258</v>
      </c>
      <c r="D104" t="s">
        <v>245</v>
      </c>
      <c r="E104" s="203">
        <v>91</v>
      </c>
      <c r="F104" s="203" t="s">
        <v>246</v>
      </c>
      <c r="G104" s="203" t="s">
        <v>247</v>
      </c>
      <c r="H104" s="203" t="s">
        <v>248</v>
      </c>
      <c r="I104" s="202">
        <v>17</v>
      </c>
      <c r="J104" s="202">
        <v>3576</v>
      </c>
      <c r="K104" s="202">
        <v>42351000</v>
      </c>
      <c r="L104" s="253"/>
      <c r="M104" s="254">
        <v>2019</v>
      </c>
      <c r="N104" s="254">
        <v>3050</v>
      </c>
      <c r="O104" s="255" t="s">
        <v>254</v>
      </c>
      <c r="P104" s="254">
        <v>410</v>
      </c>
      <c r="Q104" s="254">
        <v>232</v>
      </c>
      <c r="R104" s="255" t="s">
        <v>36</v>
      </c>
      <c r="S104" s="255" t="s">
        <v>145</v>
      </c>
      <c r="T104" s="350">
        <v>0</v>
      </c>
      <c r="U104" s="350">
        <v>0</v>
      </c>
      <c r="V104" s="350">
        <v>0</v>
      </c>
      <c r="W104" s="350">
        <v>69547000</v>
      </c>
      <c r="X104" s="350">
        <v>69547000</v>
      </c>
      <c r="AA104" s="272">
        <v>2019</v>
      </c>
      <c r="AB104" s="272">
        <v>3050</v>
      </c>
      <c r="AC104" s="273" t="s">
        <v>254</v>
      </c>
      <c r="AD104" s="272" t="s">
        <v>489</v>
      </c>
      <c r="AE104" s="272">
        <v>47</v>
      </c>
      <c r="AF104" s="274" t="s">
        <v>398</v>
      </c>
      <c r="AG104" s="272">
        <v>976</v>
      </c>
      <c r="AH104" s="272">
        <v>0</v>
      </c>
      <c r="AI104" s="272">
        <v>976</v>
      </c>
      <c r="AJ104" s="272">
        <v>0</v>
      </c>
      <c r="AK104" s="272">
        <v>53976</v>
      </c>
      <c r="AL104" s="352">
        <v>55.303278688524593</v>
      </c>
      <c r="AX104" s="254">
        <v>2019</v>
      </c>
      <c r="AY104" s="254">
        <v>3050</v>
      </c>
      <c r="AZ104" s="255" t="s">
        <v>254</v>
      </c>
      <c r="BA104" s="254">
        <v>410</v>
      </c>
      <c r="BB104" s="254">
        <v>304</v>
      </c>
      <c r="BC104" s="255" t="s">
        <v>555</v>
      </c>
      <c r="BD104" s="255" t="s">
        <v>558</v>
      </c>
      <c r="BE104" s="350">
        <v>6509000</v>
      </c>
      <c r="BF104" s="350">
        <v>769000</v>
      </c>
      <c r="BG104" s="350">
        <v>0</v>
      </c>
      <c r="BH104" s="350">
        <v>0</v>
      </c>
      <c r="BI104" s="350">
        <v>7278000</v>
      </c>
      <c r="BK104" s="272">
        <v>2019</v>
      </c>
      <c r="BL104" s="272">
        <v>3680</v>
      </c>
      <c r="BM104" s="273" t="s">
        <v>252</v>
      </c>
      <c r="BN104" s="272" t="s">
        <v>588</v>
      </c>
      <c r="BO104" s="272">
        <v>70</v>
      </c>
      <c r="BP104" s="441" t="s">
        <v>600</v>
      </c>
      <c r="BQ104" s="272">
        <v>2099</v>
      </c>
      <c r="BR104" s="272">
        <v>0</v>
      </c>
      <c r="BS104" s="272">
        <v>1970</v>
      </c>
      <c r="BT104" s="272">
        <v>0</v>
      </c>
      <c r="BU104" s="272">
        <v>57797</v>
      </c>
      <c r="BV104" s="272">
        <v>0</v>
      </c>
      <c r="BY104" s="581" t="s">
        <v>753</v>
      </c>
      <c r="BZ104" s="584" t="s">
        <v>754</v>
      </c>
      <c r="CA104" s="16"/>
      <c r="CB104" s="488"/>
      <c r="CC104" s="569">
        <v>367240</v>
      </c>
      <c r="CD104" s="569">
        <v>4220640</v>
      </c>
      <c r="CE104" s="570">
        <v>391461697</v>
      </c>
      <c r="CF104" s="571">
        <v>255275575</v>
      </c>
      <c r="CM104" s="299">
        <v>2019</v>
      </c>
      <c r="CN104" s="299">
        <v>1370</v>
      </c>
      <c r="CO104" s="300" t="s">
        <v>255</v>
      </c>
      <c r="CP104" s="299">
        <v>755</v>
      </c>
      <c r="CQ104" s="299">
        <v>71</v>
      </c>
      <c r="CR104" s="294" t="s">
        <v>385</v>
      </c>
      <c r="CS104" s="294" t="s">
        <v>412</v>
      </c>
      <c r="CT104" s="294" t="s">
        <v>393</v>
      </c>
      <c r="CU104" s="301">
        <v>4352000</v>
      </c>
      <c r="DB104">
        <f t="shared" si="100"/>
        <v>20</v>
      </c>
      <c r="DC104" s="595" t="s">
        <v>1101</v>
      </c>
      <c r="DD104" s="595" t="s">
        <v>1102</v>
      </c>
      <c r="DE104" s="595" t="s">
        <v>695</v>
      </c>
      <c r="DF104" s="286">
        <v>21692</v>
      </c>
      <c r="DG104" s="286">
        <v>2088712</v>
      </c>
      <c r="DH104" s="286">
        <v>73154163</v>
      </c>
      <c r="DI104" s="286">
        <v>53051891</v>
      </c>
      <c r="DJ104">
        <v>7</v>
      </c>
      <c r="DK104" s="643">
        <f t="shared" si="101"/>
        <v>1047.1475692534934</v>
      </c>
      <c r="DL104" s="408">
        <f t="shared" si="102"/>
        <v>2187189693.6706028</v>
      </c>
      <c r="DM104" s="286"/>
      <c r="DN104" s="286"/>
      <c r="EC104" s="289" t="s">
        <v>695</v>
      </c>
      <c r="ED104" s="296">
        <v>3479914</v>
      </c>
      <c r="EE104" s="478">
        <v>1</v>
      </c>
      <c r="EF104" s="296">
        <v>3479914</v>
      </c>
      <c r="EG104" s="477">
        <v>2.03277833409512</v>
      </c>
      <c r="EH104" s="594">
        <v>3593979.7837142856</v>
      </c>
      <c r="EI104" s="286">
        <v>7073893.7837142851</v>
      </c>
      <c r="EJ104" s="472">
        <f t="shared" si="98"/>
        <v>0.49193755326261113</v>
      </c>
      <c r="EK104" s="472">
        <f t="shared" si="99"/>
        <v>0.50806244673738887</v>
      </c>
      <c r="EL104" s="596">
        <f t="shared" si="97"/>
        <v>0.25704183432127958</v>
      </c>
      <c r="EM104" s="453">
        <v>32.833333333333336</v>
      </c>
      <c r="EN104" s="453">
        <v>81.833333333333329</v>
      </c>
      <c r="EO104" s="453">
        <v>59.333333333333336</v>
      </c>
      <c r="EP104" s="453">
        <v>15.6</v>
      </c>
      <c r="EQ104" s="453">
        <v>93.5</v>
      </c>
      <c r="ER104" s="453">
        <v>37.9</v>
      </c>
      <c r="ES104" s="453">
        <v>40</v>
      </c>
      <c r="ET104" s="453">
        <v>149.05000000000001</v>
      </c>
      <c r="EU104" s="453">
        <v>98.35</v>
      </c>
      <c r="EV104" s="453">
        <v>86.617876763621169</v>
      </c>
      <c r="EW104" s="453"/>
      <c r="FH104">
        <v>20</v>
      </c>
      <c r="FI104" t="s">
        <v>826</v>
      </c>
      <c r="FJ104" t="s">
        <v>827</v>
      </c>
      <c r="FK104" t="s">
        <v>687</v>
      </c>
      <c r="FL104" s="286">
        <v>2200</v>
      </c>
      <c r="FM104" s="286">
        <v>164600</v>
      </c>
      <c r="FN104" s="286">
        <v>9720680</v>
      </c>
      <c r="FO104" s="286">
        <v>7160833</v>
      </c>
      <c r="FP104">
        <v>7</v>
      </c>
      <c r="FQ104" s="925">
        <v>1047.1475692534934</v>
      </c>
      <c r="FR104" s="926">
        <v>172360489.89912501</v>
      </c>
      <c r="FS104">
        <v>0</v>
      </c>
    </row>
    <row r="105" spans="1:175" ht="16" customHeight="1">
      <c r="A105">
        <v>2018</v>
      </c>
      <c r="B105">
        <v>1550</v>
      </c>
      <c r="C105" t="s">
        <v>258</v>
      </c>
      <c r="D105" t="s">
        <v>245</v>
      </c>
      <c r="E105" s="203">
        <v>92</v>
      </c>
      <c r="F105" s="203" t="s">
        <v>246</v>
      </c>
      <c r="G105" s="203" t="s">
        <v>247</v>
      </c>
      <c r="H105" s="204" t="s">
        <v>249</v>
      </c>
      <c r="I105" s="202">
        <v>114</v>
      </c>
      <c r="J105" s="202">
        <v>23475</v>
      </c>
      <c r="K105" s="202">
        <v>193911000</v>
      </c>
      <c r="L105" s="253"/>
      <c r="M105" s="254">
        <v>2019</v>
      </c>
      <c r="N105" s="254">
        <v>3050</v>
      </c>
      <c r="O105" s="255" t="s">
        <v>254</v>
      </c>
      <c r="P105" s="254">
        <v>410</v>
      </c>
      <c r="Q105" s="254">
        <v>233</v>
      </c>
      <c r="R105" s="255" t="s">
        <v>36</v>
      </c>
      <c r="S105" s="255" t="s">
        <v>152</v>
      </c>
      <c r="T105" s="350">
        <v>0</v>
      </c>
      <c r="U105" s="350">
        <v>0</v>
      </c>
      <c r="V105" s="350">
        <v>0</v>
      </c>
      <c r="W105" s="350">
        <v>0</v>
      </c>
      <c r="X105" s="350">
        <v>0</v>
      </c>
      <c r="AA105" s="272">
        <v>2019</v>
      </c>
      <c r="AB105" s="272">
        <v>3050</v>
      </c>
      <c r="AC105" s="273" t="s">
        <v>254</v>
      </c>
      <c r="AD105" s="272" t="s">
        <v>489</v>
      </c>
      <c r="AE105" s="272">
        <v>48</v>
      </c>
      <c r="AF105" s="274" t="s">
        <v>399</v>
      </c>
      <c r="AG105" s="272">
        <v>63</v>
      </c>
      <c r="AH105" s="272">
        <v>0</v>
      </c>
      <c r="AI105" s="272">
        <v>61</v>
      </c>
      <c r="AJ105" s="272">
        <v>0</v>
      </c>
      <c r="AK105" s="272">
        <v>4877</v>
      </c>
      <c r="AL105" s="352">
        <v>79.950819672131146</v>
      </c>
      <c r="AX105" s="254">
        <v>2019</v>
      </c>
      <c r="AY105" s="254">
        <v>3050</v>
      </c>
      <c r="AZ105" s="255" t="s">
        <v>254</v>
      </c>
      <c r="BA105" s="254">
        <v>410</v>
      </c>
      <c r="BB105" s="254">
        <v>305</v>
      </c>
      <c r="BC105" s="255" t="s">
        <v>555</v>
      </c>
      <c r="BD105" s="255" t="s">
        <v>559</v>
      </c>
      <c r="BE105" s="350">
        <v>0</v>
      </c>
      <c r="BF105" s="350">
        <v>1000</v>
      </c>
      <c r="BG105" s="350">
        <v>0</v>
      </c>
      <c r="BH105" s="350">
        <v>0</v>
      </c>
      <c r="BI105" s="350">
        <v>1000</v>
      </c>
      <c r="BK105" s="272">
        <v>2019</v>
      </c>
      <c r="BL105" s="272">
        <v>3740</v>
      </c>
      <c r="BM105" s="273" t="s">
        <v>244</v>
      </c>
      <c r="BN105" s="272" t="s">
        <v>588</v>
      </c>
      <c r="BO105" s="272">
        <v>59</v>
      </c>
      <c r="BP105" s="441" t="s">
        <v>589</v>
      </c>
      <c r="BQ105" s="272">
        <v>48206</v>
      </c>
      <c r="BR105" s="272">
        <v>0</v>
      </c>
      <c r="BS105" s="272">
        <v>47854</v>
      </c>
      <c r="BT105" s="272">
        <v>0</v>
      </c>
      <c r="BU105" s="272">
        <v>1459547</v>
      </c>
      <c r="BV105" s="272">
        <v>0</v>
      </c>
      <c r="BY105" s="581" t="s">
        <v>755</v>
      </c>
      <c r="BZ105" s="584" t="s">
        <v>756</v>
      </c>
      <c r="CA105" s="16"/>
      <c r="CB105" s="488"/>
      <c r="CC105" s="569">
        <v>2680</v>
      </c>
      <c r="CD105" s="569">
        <v>25520</v>
      </c>
      <c r="CE105" s="570">
        <v>6825493</v>
      </c>
      <c r="CF105" s="571">
        <v>2838307</v>
      </c>
      <c r="CM105" s="299">
        <v>2019</v>
      </c>
      <c r="CN105" s="299">
        <v>1370</v>
      </c>
      <c r="CO105" s="300" t="s">
        <v>255</v>
      </c>
      <c r="CP105" s="299">
        <v>755</v>
      </c>
      <c r="CQ105" s="299">
        <v>72</v>
      </c>
      <c r="CR105" s="294" t="s">
        <v>385</v>
      </c>
      <c r="CS105" s="294" t="s">
        <v>412</v>
      </c>
      <c r="CT105" s="294" t="s">
        <v>394</v>
      </c>
      <c r="CU105" s="301">
        <v>48024000</v>
      </c>
      <c r="DB105">
        <f t="shared" si="100"/>
        <v>20</v>
      </c>
      <c r="DC105" s="595" t="s">
        <v>951</v>
      </c>
      <c r="DD105" s="595" t="s">
        <v>952</v>
      </c>
      <c r="DE105" s="595" t="s">
        <v>690</v>
      </c>
      <c r="DF105" s="286">
        <v>17996</v>
      </c>
      <c r="DG105" s="286">
        <v>1675016</v>
      </c>
      <c r="DH105" s="286">
        <v>43681445</v>
      </c>
      <c r="DI105" s="286">
        <v>26320461</v>
      </c>
      <c r="DJ105">
        <v>7</v>
      </c>
      <c r="DK105" s="643">
        <f t="shared" si="101"/>
        <v>1047.1475692534934</v>
      </c>
      <c r="DL105" s="408">
        <f t="shared" si="102"/>
        <v>1753988932.8607097</v>
      </c>
      <c r="DM105" s="286"/>
      <c r="DN105" s="286"/>
      <c r="EC105" s="289" t="s">
        <v>693</v>
      </c>
      <c r="ED105" s="296">
        <v>1691760</v>
      </c>
      <c r="EE105" s="478">
        <v>1</v>
      </c>
      <c r="EF105" s="296">
        <v>1691760</v>
      </c>
      <c r="EG105" s="477">
        <v>1.4461718276582958</v>
      </c>
      <c r="EH105" s="594">
        <v>754815.65115919849</v>
      </c>
      <c r="EI105" s="286">
        <v>2446575.6511591985</v>
      </c>
      <c r="EJ105" s="472">
        <f t="shared" si="98"/>
        <v>0.69148076381714851</v>
      </c>
      <c r="EK105" s="472">
        <f t="shared" si="99"/>
        <v>0.30851923618285149</v>
      </c>
      <c r="EL105" s="596">
        <f t="shared" si="97"/>
        <v>8.8900443292991849E-2</v>
      </c>
      <c r="EM105" s="453">
        <v>86.166666666666671</v>
      </c>
      <c r="EN105" s="453">
        <v>149.83333333333334</v>
      </c>
      <c r="EO105" s="453">
        <v>93.833333333333329</v>
      </c>
      <c r="EP105" s="453">
        <v>35</v>
      </c>
      <c r="EQ105" s="453">
        <v>81</v>
      </c>
      <c r="ER105" s="453">
        <v>52.5</v>
      </c>
      <c r="ES105" s="453">
        <v>25.25</v>
      </c>
      <c r="ET105" s="453">
        <v>75</v>
      </c>
      <c r="EU105" s="453">
        <v>37.6</v>
      </c>
      <c r="EV105" s="453">
        <v>21.293493166879461</v>
      </c>
      <c r="EW105" s="453"/>
      <c r="FH105">
        <v>20</v>
      </c>
      <c r="FI105" t="s">
        <v>832</v>
      </c>
      <c r="FJ105" t="s">
        <v>833</v>
      </c>
      <c r="FK105" t="s">
        <v>687</v>
      </c>
      <c r="FL105" s="286">
        <v>9040</v>
      </c>
      <c r="FM105" s="286">
        <v>763880</v>
      </c>
      <c r="FN105" s="286">
        <v>59389291.999999993</v>
      </c>
      <c r="FO105" s="286">
        <v>47956665.000000007</v>
      </c>
      <c r="FP105">
        <v>7</v>
      </c>
      <c r="FQ105" s="925">
        <v>1047.1475692534934</v>
      </c>
      <c r="FR105" s="926">
        <v>799895085.20135856</v>
      </c>
      <c r="FS105">
        <v>0</v>
      </c>
    </row>
    <row r="106" spans="1:175" ht="16" customHeight="1">
      <c r="A106">
        <v>2018</v>
      </c>
      <c r="B106">
        <v>1550</v>
      </c>
      <c r="C106" t="s">
        <v>258</v>
      </c>
      <c r="D106" t="s">
        <v>245</v>
      </c>
      <c r="E106" s="203">
        <v>93</v>
      </c>
      <c r="F106" s="203" t="s">
        <v>250</v>
      </c>
      <c r="G106" s="203" t="s">
        <v>247</v>
      </c>
      <c r="H106" s="203" t="s">
        <v>248</v>
      </c>
      <c r="I106" s="202">
        <v>0</v>
      </c>
      <c r="J106" s="202">
        <v>0</v>
      </c>
      <c r="K106" s="202">
        <v>0</v>
      </c>
      <c r="L106" s="253"/>
      <c r="M106" s="254">
        <v>2019</v>
      </c>
      <c r="N106" s="254">
        <v>3050</v>
      </c>
      <c r="O106" s="255" t="s">
        <v>254</v>
      </c>
      <c r="P106" s="254">
        <v>410</v>
      </c>
      <c r="Q106" s="254">
        <v>234</v>
      </c>
      <c r="R106" s="255" t="s">
        <v>36</v>
      </c>
      <c r="S106" s="255" t="s">
        <v>153</v>
      </c>
      <c r="T106" s="350">
        <v>0</v>
      </c>
      <c r="U106" s="350">
        <v>0</v>
      </c>
      <c r="V106" s="350">
        <v>0</v>
      </c>
      <c r="W106" s="350">
        <v>0</v>
      </c>
      <c r="X106" s="350">
        <v>0</v>
      </c>
      <c r="AA106" s="272">
        <v>2019</v>
      </c>
      <c r="AB106" s="272">
        <v>3050</v>
      </c>
      <c r="AC106" s="273" t="s">
        <v>254</v>
      </c>
      <c r="AD106" s="272" t="s">
        <v>489</v>
      </c>
      <c r="AE106" s="272">
        <v>49</v>
      </c>
      <c r="AF106" s="274" t="s">
        <v>490</v>
      </c>
      <c r="AG106" s="272">
        <v>2497</v>
      </c>
      <c r="AH106" s="272">
        <v>0</v>
      </c>
      <c r="AI106" s="272">
        <v>2629</v>
      </c>
      <c r="AJ106" s="272">
        <v>0</v>
      </c>
      <c r="AK106" s="272">
        <v>269301</v>
      </c>
      <c r="AL106" s="352">
        <v>102.43476607074933</v>
      </c>
      <c r="AX106" s="254">
        <v>2019</v>
      </c>
      <c r="AY106" s="254">
        <v>3050</v>
      </c>
      <c r="AZ106" s="255" t="s">
        <v>254</v>
      </c>
      <c r="BA106" s="254">
        <v>410</v>
      </c>
      <c r="BB106" s="254">
        <v>306</v>
      </c>
      <c r="BC106" s="255" t="s">
        <v>555</v>
      </c>
      <c r="BD106" s="255" t="s">
        <v>560</v>
      </c>
      <c r="BE106" s="350">
        <v>30000</v>
      </c>
      <c r="BF106" s="350">
        <v>227000</v>
      </c>
      <c r="BG106" s="350">
        <v>18000</v>
      </c>
      <c r="BH106" s="350">
        <v>0</v>
      </c>
      <c r="BI106" s="350">
        <v>275000</v>
      </c>
      <c r="BK106" s="272">
        <v>2019</v>
      </c>
      <c r="BL106" s="272">
        <v>3740</v>
      </c>
      <c r="BM106" s="273" t="s">
        <v>244</v>
      </c>
      <c r="BN106" s="272" t="s">
        <v>588</v>
      </c>
      <c r="BO106" s="272">
        <v>60</v>
      </c>
      <c r="BP106" s="441" t="s">
        <v>590</v>
      </c>
      <c r="BQ106" s="272">
        <v>0</v>
      </c>
      <c r="BR106" s="272">
        <v>0</v>
      </c>
      <c r="BS106" s="272">
        <v>0</v>
      </c>
      <c r="BT106" s="272">
        <v>0</v>
      </c>
      <c r="BU106" s="272">
        <v>0</v>
      </c>
      <c r="BV106" s="272">
        <v>0</v>
      </c>
      <c r="BY106" s="581" t="s">
        <v>757</v>
      </c>
      <c r="BZ106" s="584" t="s">
        <v>758</v>
      </c>
      <c r="CA106" s="16"/>
      <c r="CB106" s="488"/>
      <c r="CC106" s="569">
        <v>28840</v>
      </c>
      <c r="CD106" s="569">
        <v>386280</v>
      </c>
      <c r="CE106" s="570">
        <v>31377567</v>
      </c>
      <c r="CF106" s="571">
        <v>22132951</v>
      </c>
      <c r="CM106" s="299">
        <v>2019</v>
      </c>
      <c r="CN106" s="299">
        <v>1370</v>
      </c>
      <c r="CO106" s="300" t="s">
        <v>255</v>
      </c>
      <c r="CP106" s="299">
        <v>755</v>
      </c>
      <c r="CQ106" s="299">
        <v>73</v>
      </c>
      <c r="CR106" s="294" t="s">
        <v>385</v>
      </c>
      <c r="CS106" s="294" t="s">
        <v>412</v>
      </c>
      <c r="CT106" s="294" t="s">
        <v>395</v>
      </c>
      <c r="CU106" s="301">
        <v>568000</v>
      </c>
      <c r="DB106">
        <f t="shared" si="100"/>
        <v>20</v>
      </c>
      <c r="DC106" s="595" t="s">
        <v>1103</v>
      </c>
      <c r="DD106" s="595" t="s">
        <v>1104</v>
      </c>
      <c r="DE106" s="595" t="s">
        <v>695</v>
      </c>
      <c r="DF106" s="286">
        <v>2740</v>
      </c>
      <c r="DG106" s="286">
        <v>247536</v>
      </c>
      <c r="DH106" s="286">
        <v>10391660</v>
      </c>
      <c r="DI106" s="286">
        <v>6567974</v>
      </c>
      <c r="DJ106">
        <v>7</v>
      </c>
      <c r="DK106" s="643">
        <f t="shared" si="101"/>
        <v>1047.1475692534934</v>
      </c>
      <c r="DL106" s="408">
        <f t="shared" si="102"/>
        <v>259206720.70273274</v>
      </c>
      <c r="DM106" s="286"/>
      <c r="DN106" s="286"/>
      <c r="ED106" s="286">
        <f>SUM(ED92:ED105)</f>
        <v>28180288</v>
      </c>
      <c r="EF106" s="286">
        <f>SUM(EF92:EF105)</f>
        <v>15662134.764471447</v>
      </c>
      <c r="EH106" s="286">
        <f>SUM(EH92:EH105)</f>
        <v>11858264.015722999</v>
      </c>
      <c r="EI106" s="286">
        <f>SUM(EI92:EI105)</f>
        <v>27520398.780194446</v>
      </c>
      <c r="EL106" s="596">
        <f>SUM(EL92:EL105)</f>
        <v>1</v>
      </c>
      <c r="EW106" s="453"/>
      <c r="FH106">
        <v>20</v>
      </c>
      <c r="FI106" t="s">
        <v>828</v>
      </c>
      <c r="FJ106" t="s">
        <v>829</v>
      </c>
      <c r="FK106" t="s">
        <v>687</v>
      </c>
      <c r="FL106" s="286">
        <v>38400</v>
      </c>
      <c r="FM106" s="286">
        <v>2617160</v>
      </c>
      <c r="FN106" s="286">
        <v>185887840</v>
      </c>
      <c r="FO106" s="286">
        <v>154068309</v>
      </c>
      <c r="FP106">
        <v>8</v>
      </c>
      <c r="FQ106" s="925">
        <v>1895.097258824158</v>
      </c>
      <c r="FR106" s="926">
        <v>4959772741.904233</v>
      </c>
      <c r="FS106">
        <v>0</v>
      </c>
    </row>
    <row r="107" spans="1:175" ht="16" customHeight="1">
      <c r="A107">
        <v>2018</v>
      </c>
      <c r="B107">
        <v>1550</v>
      </c>
      <c r="C107" t="s">
        <v>258</v>
      </c>
      <c r="D107" t="s">
        <v>245</v>
      </c>
      <c r="E107" s="203">
        <v>94</v>
      </c>
      <c r="F107" s="203" t="s">
        <v>250</v>
      </c>
      <c r="G107" s="203" t="s">
        <v>247</v>
      </c>
      <c r="H107" s="203" t="s">
        <v>249</v>
      </c>
      <c r="I107" s="202">
        <v>0</v>
      </c>
      <c r="J107" s="202">
        <v>0</v>
      </c>
      <c r="K107" s="202">
        <v>0</v>
      </c>
      <c r="L107" s="253"/>
      <c r="M107" s="254">
        <v>2019</v>
      </c>
      <c r="N107" s="254">
        <v>3050</v>
      </c>
      <c r="O107" s="255" t="s">
        <v>254</v>
      </c>
      <c r="P107" s="254">
        <v>410</v>
      </c>
      <c r="Q107" s="254">
        <v>235</v>
      </c>
      <c r="R107" s="255" t="s">
        <v>36</v>
      </c>
      <c r="S107" s="255" t="s">
        <v>202</v>
      </c>
      <c r="T107" s="350">
        <v>0</v>
      </c>
      <c r="U107" s="350">
        <v>0</v>
      </c>
      <c r="V107" s="350">
        <v>-206636000</v>
      </c>
      <c r="W107" s="350">
        <v>0</v>
      </c>
      <c r="X107" s="350">
        <v>-206636000</v>
      </c>
      <c r="AA107" s="272">
        <v>2019</v>
      </c>
      <c r="AB107" s="272">
        <v>3050</v>
      </c>
      <c r="AC107" s="273" t="s">
        <v>254</v>
      </c>
      <c r="AD107" s="272" t="s">
        <v>489</v>
      </c>
      <c r="AE107" s="272">
        <v>50</v>
      </c>
      <c r="AF107" s="274" t="s">
        <v>408</v>
      </c>
      <c r="AG107" s="272">
        <v>5</v>
      </c>
      <c r="AH107" s="272">
        <v>0</v>
      </c>
      <c r="AI107" s="272">
        <v>5</v>
      </c>
      <c r="AJ107" s="272">
        <v>0</v>
      </c>
      <c r="AK107" s="272">
        <v>403</v>
      </c>
      <c r="AL107" s="352">
        <v>80.599999999999994</v>
      </c>
      <c r="AX107" s="254">
        <v>2019</v>
      </c>
      <c r="AY107" s="254">
        <v>3050</v>
      </c>
      <c r="AZ107" s="255" t="s">
        <v>254</v>
      </c>
      <c r="BA107" s="254">
        <v>410</v>
      </c>
      <c r="BB107" s="254">
        <v>307</v>
      </c>
      <c r="BC107" s="255" t="s">
        <v>555</v>
      </c>
      <c r="BD107" s="255" t="s">
        <v>561</v>
      </c>
      <c r="BE107" s="350">
        <v>14239000</v>
      </c>
      <c r="BF107" s="350">
        <v>5653000</v>
      </c>
      <c r="BG107" s="350">
        <v>2037000</v>
      </c>
      <c r="BH107" s="350">
        <v>36000</v>
      </c>
      <c r="BI107" s="350">
        <v>21965000</v>
      </c>
      <c r="BK107" s="272">
        <v>2019</v>
      </c>
      <c r="BL107" s="272">
        <v>3740</v>
      </c>
      <c r="BM107" s="273" t="s">
        <v>244</v>
      </c>
      <c r="BN107" s="272" t="s">
        <v>588</v>
      </c>
      <c r="BO107" s="272">
        <v>61</v>
      </c>
      <c r="BP107" s="441" t="s">
        <v>591</v>
      </c>
      <c r="BQ107" s="272">
        <v>0</v>
      </c>
      <c r="BR107" s="272">
        <v>0</v>
      </c>
      <c r="BS107" s="272">
        <v>0</v>
      </c>
      <c r="BT107" s="272">
        <v>0</v>
      </c>
      <c r="BU107" s="272">
        <v>0</v>
      </c>
      <c r="BV107" s="272">
        <v>0</v>
      </c>
      <c r="BY107" s="581" t="s">
        <v>759</v>
      </c>
      <c r="BZ107" s="584" t="s">
        <v>760</v>
      </c>
      <c r="CA107" s="16"/>
      <c r="CB107" s="488"/>
      <c r="CC107" s="569">
        <v>10360</v>
      </c>
      <c r="CD107" s="569">
        <v>195600</v>
      </c>
      <c r="CE107" s="570">
        <v>15173403</v>
      </c>
      <c r="CF107" s="571">
        <v>8456347</v>
      </c>
      <c r="CM107" s="299">
        <v>2019</v>
      </c>
      <c r="CN107" s="299">
        <v>1370</v>
      </c>
      <c r="CO107" s="300" t="s">
        <v>255</v>
      </c>
      <c r="CP107" s="299">
        <v>755</v>
      </c>
      <c r="CQ107" s="299">
        <v>74</v>
      </c>
      <c r="CR107" s="294" t="s">
        <v>385</v>
      </c>
      <c r="CS107" s="294" t="s">
        <v>412</v>
      </c>
      <c r="CT107" s="294" t="s">
        <v>396</v>
      </c>
      <c r="CU107" s="301">
        <v>21000</v>
      </c>
      <c r="DB107">
        <f t="shared" si="100"/>
        <v>20</v>
      </c>
      <c r="DC107" s="595" t="s">
        <v>953</v>
      </c>
      <c r="DD107" s="595" t="s">
        <v>954</v>
      </c>
      <c r="DE107" s="595" t="s">
        <v>690</v>
      </c>
      <c r="DF107" s="286">
        <v>1096</v>
      </c>
      <c r="DG107" s="286">
        <v>105028</v>
      </c>
      <c r="DH107" s="286">
        <v>4890988</v>
      </c>
      <c r="DI107" s="286">
        <v>3536725</v>
      </c>
      <c r="DJ107">
        <v>4</v>
      </c>
      <c r="DK107" s="643">
        <f t="shared" si="101"/>
        <v>372.51982588160462</v>
      </c>
      <c r="DL107" s="408">
        <f t="shared" si="102"/>
        <v>39125012.272693172</v>
      </c>
      <c r="DM107" s="286"/>
      <c r="DN107" s="286"/>
      <c r="EW107" s="453"/>
      <c r="FH107">
        <v>20</v>
      </c>
      <c r="FI107" t="s">
        <v>830</v>
      </c>
      <c r="FJ107" t="s">
        <v>831</v>
      </c>
      <c r="FK107" t="s">
        <v>687</v>
      </c>
      <c r="FL107" s="286">
        <v>3320</v>
      </c>
      <c r="FM107" s="286">
        <v>290360</v>
      </c>
      <c r="FN107" s="286">
        <v>19304640</v>
      </c>
      <c r="FO107" s="286">
        <v>16101095</v>
      </c>
      <c r="FP107">
        <v>8</v>
      </c>
      <c r="FQ107" s="925">
        <v>1895.097258824158</v>
      </c>
      <c r="FR107" s="926">
        <v>550260440.07218254</v>
      </c>
      <c r="FS107">
        <v>0</v>
      </c>
    </row>
    <row r="108" spans="1:175" ht="16" customHeight="1">
      <c r="A108">
        <v>2018</v>
      </c>
      <c r="B108">
        <v>1550</v>
      </c>
      <c r="C108" t="s">
        <v>258</v>
      </c>
      <c r="D108" t="s">
        <v>245</v>
      </c>
      <c r="E108">
        <v>97</v>
      </c>
      <c r="F108" t="s">
        <v>251</v>
      </c>
      <c r="G108" t="s">
        <v>247</v>
      </c>
      <c r="H108" t="s">
        <v>248</v>
      </c>
      <c r="I108" s="202">
        <v>5174</v>
      </c>
      <c r="J108" s="202">
        <v>19400</v>
      </c>
      <c r="K108" s="202">
        <v>73544000</v>
      </c>
      <c r="L108" s="253"/>
      <c r="M108" s="254">
        <v>2019</v>
      </c>
      <c r="N108" s="254">
        <v>3050</v>
      </c>
      <c r="O108" s="255" t="s">
        <v>254</v>
      </c>
      <c r="P108" s="254">
        <v>410</v>
      </c>
      <c r="Q108" s="254">
        <v>236</v>
      </c>
      <c r="R108" s="255" t="s">
        <v>36</v>
      </c>
      <c r="S108" s="255" t="s">
        <v>156</v>
      </c>
      <c r="T108" s="350">
        <v>0</v>
      </c>
      <c r="U108" s="350">
        <v>0</v>
      </c>
      <c r="V108" s="350">
        <v>0</v>
      </c>
      <c r="W108" s="350">
        <v>0</v>
      </c>
      <c r="X108" s="350">
        <v>0</v>
      </c>
      <c r="AA108" s="272">
        <v>2019</v>
      </c>
      <c r="AB108" s="272">
        <v>3050</v>
      </c>
      <c r="AC108" s="273" t="s">
        <v>254</v>
      </c>
      <c r="AD108" s="272" t="s">
        <v>489</v>
      </c>
      <c r="AE108" s="272">
        <v>51</v>
      </c>
      <c r="AF108" s="274" t="s">
        <v>409</v>
      </c>
      <c r="AG108" s="272">
        <v>80</v>
      </c>
      <c r="AH108" s="272">
        <v>0</v>
      </c>
      <c r="AI108" s="272">
        <v>8</v>
      </c>
      <c r="AJ108" s="272">
        <v>0</v>
      </c>
      <c r="AK108" s="272">
        <v>752</v>
      </c>
      <c r="AL108" s="352">
        <v>94</v>
      </c>
      <c r="AX108" s="254">
        <v>2019</v>
      </c>
      <c r="AY108" s="254">
        <v>3050</v>
      </c>
      <c r="AZ108" s="255" t="s">
        <v>254</v>
      </c>
      <c r="BA108" s="254">
        <v>410</v>
      </c>
      <c r="BB108" s="254">
        <v>308</v>
      </c>
      <c r="BC108" s="255" t="s">
        <v>555</v>
      </c>
      <c r="BD108" s="255" t="s">
        <v>560</v>
      </c>
      <c r="BE108" s="350">
        <v>0</v>
      </c>
      <c r="BF108" s="350">
        <v>0</v>
      </c>
      <c r="BG108" s="350">
        <v>8972000</v>
      </c>
      <c r="BH108" s="350">
        <v>925000</v>
      </c>
      <c r="BI108" s="350">
        <v>9897000</v>
      </c>
      <c r="BK108" s="272">
        <v>2019</v>
      </c>
      <c r="BL108" s="272">
        <v>3740</v>
      </c>
      <c r="BM108" s="273" t="s">
        <v>244</v>
      </c>
      <c r="BN108" s="272" t="s">
        <v>588</v>
      </c>
      <c r="BO108" s="272">
        <v>62</v>
      </c>
      <c r="BP108" s="441" t="s">
        <v>592</v>
      </c>
      <c r="BQ108" s="272">
        <v>0</v>
      </c>
      <c r="BR108" s="272">
        <v>0</v>
      </c>
      <c r="BS108" s="272">
        <v>0</v>
      </c>
      <c r="BT108" s="272">
        <v>0</v>
      </c>
      <c r="BU108" s="272">
        <v>0</v>
      </c>
      <c r="BV108" s="272">
        <v>0</v>
      </c>
      <c r="BY108" s="581" t="s">
        <v>761</v>
      </c>
      <c r="BZ108" s="584" t="s">
        <v>762</v>
      </c>
      <c r="CA108" s="16"/>
      <c r="CB108" s="488"/>
      <c r="CC108" s="569">
        <v>32560</v>
      </c>
      <c r="CD108" s="569">
        <v>406000</v>
      </c>
      <c r="CE108" s="570">
        <v>36196191</v>
      </c>
      <c r="CF108" s="571">
        <v>22935970</v>
      </c>
      <c r="CM108" s="299">
        <v>2019</v>
      </c>
      <c r="CN108" s="299">
        <v>1370</v>
      </c>
      <c r="CO108" s="300" t="s">
        <v>255</v>
      </c>
      <c r="CP108" s="299">
        <v>755</v>
      </c>
      <c r="CQ108" s="299">
        <v>75</v>
      </c>
      <c r="CR108" s="294" t="s">
        <v>385</v>
      </c>
      <c r="CS108" s="294" t="s">
        <v>412</v>
      </c>
      <c r="CT108" s="294" t="s">
        <v>397</v>
      </c>
      <c r="CU108" s="301">
        <v>1793000</v>
      </c>
      <c r="DB108">
        <f t="shared" si="100"/>
        <v>20</v>
      </c>
      <c r="DC108" s="595" t="s">
        <v>1105</v>
      </c>
      <c r="DD108" s="595" t="s">
        <v>1106</v>
      </c>
      <c r="DE108" s="595" t="s">
        <v>695</v>
      </c>
      <c r="DF108" s="286">
        <v>3820</v>
      </c>
      <c r="DG108" s="286">
        <v>356440</v>
      </c>
      <c r="DH108" s="286">
        <v>12665772</v>
      </c>
      <c r="DI108" s="286">
        <v>6565309</v>
      </c>
      <c r="DJ108">
        <v>7</v>
      </c>
      <c r="DK108" s="643">
        <f t="shared" si="101"/>
        <v>1047.1475692534934</v>
      </c>
      <c r="DL108" s="408">
        <f t="shared" si="102"/>
        <v>373245279.58471519</v>
      </c>
      <c r="DM108" s="286"/>
      <c r="DN108" s="286"/>
      <c r="EC108" s="598" t="s">
        <v>1608</v>
      </c>
      <c r="EW108" s="453"/>
      <c r="FH108">
        <v>28</v>
      </c>
      <c r="FI108" t="s">
        <v>855</v>
      </c>
      <c r="FJ108" t="s">
        <v>856</v>
      </c>
      <c r="FK108" t="s">
        <v>687</v>
      </c>
      <c r="FL108" s="286">
        <v>9320</v>
      </c>
      <c r="FM108" s="286">
        <v>697612.00000000012</v>
      </c>
      <c r="FN108" s="286">
        <v>52169700</v>
      </c>
      <c r="FO108" s="286">
        <v>32182896.999999996</v>
      </c>
      <c r="FP108">
        <v>13</v>
      </c>
      <c r="FQ108" s="925">
        <v>106.2931379319991</v>
      </c>
      <c r="FR108" s="926">
        <v>74151368.539017767</v>
      </c>
      <c r="FS108">
        <v>0</v>
      </c>
    </row>
    <row r="109" spans="1:175" ht="16" customHeight="1">
      <c r="A109">
        <v>2018</v>
      </c>
      <c r="B109">
        <v>1550</v>
      </c>
      <c r="C109" t="s">
        <v>258</v>
      </c>
      <c r="D109" t="s">
        <v>245</v>
      </c>
      <c r="E109">
        <v>98</v>
      </c>
      <c r="F109" t="s">
        <v>251</v>
      </c>
      <c r="G109" t="s">
        <v>247</v>
      </c>
      <c r="H109" t="s">
        <v>249</v>
      </c>
      <c r="I109" s="202">
        <v>0</v>
      </c>
      <c r="J109" s="202">
        <v>0</v>
      </c>
      <c r="K109" s="202">
        <v>0</v>
      </c>
      <c r="L109" s="253"/>
      <c r="M109" s="254">
        <v>2019</v>
      </c>
      <c r="N109" s="254">
        <v>3050</v>
      </c>
      <c r="O109" s="255" t="s">
        <v>254</v>
      </c>
      <c r="P109" s="254">
        <v>410</v>
      </c>
      <c r="Q109" s="254">
        <v>237</v>
      </c>
      <c r="R109" s="255" t="s">
        <v>36</v>
      </c>
      <c r="S109" s="255" t="s">
        <v>158</v>
      </c>
      <c r="T109" s="350">
        <v>0</v>
      </c>
      <c r="U109" s="350">
        <v>1415000</v>
      </c>
      <c r="V109" s="350">
        <v>26000</v>
      </c>
      <c r="W109" s="350">
        <v>350000</v>
      </c>
      <c r="X109" s="350">
        <v>1791000</v>
      </c>
      <c r="AA109" s="272">
        <v>2019</v>
      </c>
      <c r="AB109" s="272">
        <v>3050</v>
      </c>
      <c r="AC109" s="273" t="s">
        <v>254</v>
      </c>
      <c r="AD109" s="272" t="s">
        <v>489</v>
      </c>
      <c r="AE109" s="272">
        <v>52</v>
      </c>
      <c r="AF109" s="274" t="s">
        <v>491</v>
      </c>
      <c r="AG109" s="272">
        <v>57</v>
      </c>
      <c r="AH109" s="272">
        <v>0</v>
      </c>
      <c r="AI109" s="272">
        <v>54</v>
      </c>
      <c r="AJ109" s="272">
        <v>0</v>
      </c>
      <c r="AK109" s="272">
        <v>4066</v>
      </c>
      <c r="AL109" s="352">
        <v>75.296296296296291</v>
      </c>
      <c r="AX109" s="254">
        <v>2019</v>
      </c>
      <c r="AY109" s="254">
        <v>3050</v>
      </c>
      <c r="AZ109" s="255" t="s">
        <v>254</v>
      </c>
      <c r="BA109" s="254">
        <v>410</v>
      </c>
      <c r="BB109" s="254">
        <v>309</v>
      </c>
      <c r="BC109" s="255" t="s">
        <v>555</v>
      </c>
      <c r="BD109" s="255" t="s">
        <v>200</v>
      </c>
      <c r="BE109" s="350">
        <v>0</v>
      </c>
      <c r="BF109" s="350">
        <v>0</v>
      </c>
      <c r="BG109" s="350">
        <v>0</v>
      </c>
      <c r="BH109" s="350">
        <v>9189000</v>
      </c>
      <c r="BI109" s="350">
        <v>9189000</v>
      </c>
      <c r="BK109" s="272">
        <v>2019</v>
      </c>
      <c r="BL109" s="272">
        <v>3740</v>
      </c>
      <c r="BM109" s="273" t="s">
        <v>244</v>
      </c>
      <c r="BN109" s="272" t="s">
        <v>588</v>
      </c>
      <c r="BO109" s="272">
        <v>63</v>
      </c>
      <c r="BP109" s="441" t="s">
        <v>593</v>
      </c>
      <c r="BQ109" s="272">
        <v>0</v>
      </c>
      <c r="BR109" s="272">
        <v>0</v>
      </c>
      <c r="BS109" s="272">
        <v>0</v>
      </c>
      <c r="BT109" s="272">
        <v>0</v>
      </c>
      <c r="BU109" s="272">
        <v>0</v>
      </c>
      <c r="BV109" s="272">
        <v>0</v>
      </c>
      <c r="BY109" s="581" t="s">
        <v>763</v>
      </c>
      <c r="BZ109" s="584" t="s">
        <v>764</v>
      </c>
      <c r="CA109" s="16"/>
      <c r="CB109" s="488"/>
      <c r="CC109" s="569">
        <v>68400</v>
      </c>
      <c r="CD109" s="569">
        <v>779120</v>
      </c>
      <c r="CE109" s="570">
        <v>85297664</v>
      </c>
      <c r="CF109" s="571">
        <v>50851600</v>
      </c>
      <c r="CM109" s="299">
        <v>2019</v>
      </c>
      <c r="CN109" s="299">
        <v>1370</v>
      </c>
      <c r="CO109" s="300" t="s">
        <v>255</v>
      </c>
      <c r="CP109" s="299">
        <v>755</v>
      </c>
      <c r="CQ109" s="299">
        <v>76</v>
      </c>
      <c r="CR109" s="294" t="s">
        <v>385</v>
      </c>
      <c r="CS109" s="294" t="s">
        <v>412</v>
      </c>
      <c r="CT109" s="294" t="s">
        <v>398</v>
      </c>
      <c r="CU109" s="301">
        <v>26214000</v>
      </c>
      <c r="DB109">
        <f t="shared" si="100"/>
        <v>20</v>
      </c>
      <c r="DC109" s="595" t="s">
        <v>1107</v>
      </c>
      <c r="DD109" s="595" t="s">
        <v>1108</v>
      </c>
      <c r="DE109" s="595" t="s">
        <v>695</v>
      </c>
      <c r="DF109" s="286">
        <v>12360</v>
      </c>
      <c r="DG109" s="286">
        <v>1209144</v>
      </c>
      <c r="DH109" s="286">
        <v>49968004</v>
      </c>
      <c r="DI109" s="286">
        <v>32686350</v>
      </c>
      <c r="DJ109">
        <v>7</v>
      </c>
      <c r="DK109" s="643">
        <f t="shared" si="101"/>
        <v>1047.1475692534934</v>
      </c>
      <c r="DL109" s="408">
        <f t="shared" si="102"/>
        <v>1266152200.4774461</v>
      </c>
      <c r="DM109" s="286"/>
      <c r="DN109" s="286"/>
      <c r="EC109" s="289" t="s">
        <v>699</v>
      </c>
      <c r="ED109" s="296">
        <v>422640</v>
      </c>
      <c r="EE109" s="478">
        <v>3.5915986287092889</v>
      </c>
      <c r="EF109" s="296">
        <v>117674.61893476776</v>
      </c>
      <c r="EG109" s="477">
        <v>1.0844039662606211</v>
      </c>
      <c r="EH109" s="594">
        <v>9932.2045663015797</v>
      </c>
      <c r="EI109" s="286">
        <v>127606.82350106933</v>
      </c>
      <c r="EJ109" s="472">
        <f>EF109/EI109</f>
        <v>0.92216556847198428</v>
      </c>
      <c r="EK109" s="472">
        <f t="shared" ref="EK109:EK110" si="103">1-EJ109</f>
        <v>7.7834431528015724E-2</v>
      </c>
      <c r="EL109" s="596">
        <f>EI109/EI111</f>
        <v>3.8072707016684526E-2</v>
      </c>
      <c r="EM109" s="453">
        <v>116.75</v>
      </c>
      <c r="EN109" s="453">
        <v>438.16666666666669</v>
      </c>
      <c r="EO109" s="453">
        <v>290.66666666666669</v>
      </c>
      <c r="EP109" s="453">
        <v>5.75</v>
      </c>
      <c r="EQ109" s="453">
        <v>175.35</v>
      </c>
      <c r="ER109" s="453">
        <v>57.8</v>
      </c>
      <c r="ES109" s="453">
        <v>97.5</v>
      </c>
      <c r="ET109" s="453">
        <v>315</v>
      </c>
      <c r="EU109" s="453">
        <v>168</v>
      </c>
      <c r="EV109" s="453">
        <v>43.60498505497138</v>
      </c>
      <c r="FH109">
        <v>32</v>
      </c>
      <c r="FI109" t="s">
        <v>867</v>
      </c>
      <c r="FJ109" t="s">
        <v>868</v>
      </c>
      <c r="FK109" t="s">
        <v>687</v>
      </c>
      <c r="FL109" s="286">
        <v>1240</v>
      </c>
      <c r="FM109" s="286">
        <v>109440</v>
      </c>
      <c r="FN109" s="286">
        <v>8776867</v>
      </c>
      <c r="FO109" s="286">
        <v>6345626</v>
      </c>
      <c r="FP109">
        <v>13</v>
      </c>
      <c r="FQ109" s="925">
        <v>106.2931379319991</v>
      </c>
      <c r="FR109" s="926">
        <v>11632721.015277982</v>
      </c>
      <c r="FS109">
        <v>0</v>
      </c>
    </row>
    <row r="110" spans="1:175" ht="16" customHeight="1">
      <c r="A110">
        <v>2017</v>
      </c>
      <c r="B110">
        <v>3740</v>
      </c>
      <c r="C110" t="s">
        <v>244</v>
      </c>
      <c r="D110" t="s">
        <v>245</v>
      </c>
      <c r="E110" s="203">
        <v>91</v>
      </c>
      <c r="F110" s="203" t="s">
        <v>246</v>
      </c>
      <c r="G110" s="203" t="s">
        <v>247</v>
      </c>
      <c r="H110" s="203" t="s">
        <v>248</v>
      </c>
      <c r="I110" s="202">
        <v>66</v>
      </c>
      <c r="J110" s="202">
        <v>14106</v>
      </c>
      <c r="K110" s="202">
        <v>178450000</v>
      </c>
      <c r="L110" s="253"/>
      <c r="M110" s="254">
        <v>2019</v>
      </c>
      <c r="N110" s="254">
        <v>2670</v>
      </c>
      <c r="O110" s="255" t="s">
        <v>257</v>
      </c>
      <c r="P110" s="254">
        <v>410</v>
      </c>
      <c r="Q110" s="254">
        <v>220</v>
      </c>
      <c r="R110" s="255" t="s">
        <v>36</v>
      </c>
      <c r="S110" s="255" t="s">
        <v>203</v>
      </c>
      <c r="T110" s="350">
        <v>10485000</v>
      </c>
      <c r="U110" s="350">
        <v>170000</v>
      </c>
      <c r="V110" s="350">
        <v>223000</v>
      </c>
      <c r="W110" s="350">
        <v>4754000</v>
      </c>
      <c r="X110" s="350">
        <v>15632000</v>
      </c>
      <c r="AA110" s="272">
        <v>2019</v>
      </c>
      <c r="AB110" s="272">
        <v>3050</v>
      </c>
      <c r="AC110" s="273" t="s">
        <v>254</v>
      </c>
      <c r="AD110" s="272" t="s">
        <v>489</v>
      </c>
      <c r="AE110" s="272">
        <v>53</v>
      </c>
      <c r="AF110" s="274" t="s">
        <v>492</v>
      </c>
      <c r="AG110" s="272">
        <v>70703</v>
      </c>
      <c r="AH110" s="272">
        <v>0</v>
      </c>
      <c r="AI110" s="272">
        <v>70058</v>
      </c>
      <c r="AJ110" s="272">
        <v>0</v>
      </c>
      <c r="AK110" s="272">
        <v>8363236</v>
      </c>
      <c r="AL110" s="352">
        <v>119.37588854948757</v>
      </c>
      <c r="AX110" s="254">
        <v>2019</v>
      </c>
      <c r="AY110" s="254">
        <v>3050</v>
      </c>
      <c r="AZ110" s="255" t="s">
        <v>254</v>
      </c>
      <c r="BA110" s="254">
        <v>410</v>
      </c>
      <c r="BB110" s="254">
        <v>310</v>
      </c>
      <c r="BC110" s="255" t="s">
        <v>555</v>
      </c>
      <c r="BD110" s="255" t="s">
        <v>201</v>
      </c>
      <c r="BE110" s="350">
        <v>0</v>
      </c>
      <c r="BF110" s="350">
        <v>0</v>
      </c>
      <c r="BG110" s="350">
        <v>0</v>
      </c>
      <c r="BH110" s="350">
        <v>966000</v>
      </c>
      <c r="BI110" s="350">
        <v>966000</v>
      </c>
      <c r="BK110" s="272">
        <v>2019</v>
      </c>
      <c r="BL110" s="272">
        <v>3740</v>
      </c>
      <c r="BM110" s="273" t="s">
        <v>244</v>
      </c>
      <c r="BN110" s="272" t="s">
        <v>588</v>
      </c>
      <c r="BO110" s="272">
        <v>64</v>
      </c>
      <c r="BP110" s="441" t="s">
        <v>594</v>
      </c>
      <c r="BQ110" s="272">
        <v>0</v>
      </c>
      <c r="BR110" s="272">
        <v>0</v>
      </c>
      <c r="BS110" s="272">
        <v>0</v>
      </c>
      <c r="BT110" s="272">
        <v>0</v>
      </c>
      <c r="BU110" s="272">
        <v>0</v>
      </c>
      <c r="BV110" s="272">
        <v>0</v>
      </c>
      <c r="BY110" s="581" t="s">
        <v>765</v>
      </c>
      <c r="BZ110" s="584" t="s">
        <v>766</v>
      </c>
      <c r="CA110" s="16"/>
      <c r="CB110" s="488"/>
      <c r="CC110" s="569">
        <v>193640</v>
      </c>
      <c r="CD110" s="569">
        <v>1964400</v>
      </c>
      <c r="CE110" s="570">
        <v>226348213</v>
      </c>
      <c r="CF110" s="571">
        <v>137531017</v>
      </c>
      <c r="CM110" s="299">
        <v>2019</v>
      </c>
      <c r="CN110" s="299">
        <v>1370</v>
      </c>
      <c r="CO110" s="300" t="s">
        <v>255</v>
      </c>
      <c r="CP110" s="299">
        <v>755</v>
      </c>
      <c r="CQ110" s="299">
        <v>77</v>
      </c>
      <c r="CR110" s="294" t="s">
        <v>385</v>
      </c>
      <c r="CS110" s="294" t="s">
        <v>412</v>
      </c>
      <c r="CT110" s="294" t="s">
        <v>399</v>
      </c>
      <c r="CU110" s="301">
        <v>105000</v>
      </c>
      <c r="DB110">
        <f t="shared" si="100"/>
        <v>20</v>
      </c>
      <c r="DC110" s="595" t="s">
        <v>955</v>
      </c>
      <c r="DD110" s="595" t="s">
        <v>956</v>
      </c>
      <c r="DE110" s="595" t="s">
        <v>690</v>
      </c>
      <c r="DF110" s="286">
        <v>4556</v>
      </c>
      <c r="DG110" s="286">
        <v>464404</v>
      </c>
      <c r="DH110" s="286">
        <v>20501054</v>
      </c>
      <c r="DI110" s="286">
        <v>16502318</v>
      </c>
      <c r="DJ110">
        <v>7</v>
      </c>
      <c r="DK110" s="643">
        <f t="shared" si="101"/>
        <v>1047.1475692534934</v>
      </c>
      <c r="DL110" s="408">
        <f t="shared" si="102"/>
        <v>486299519.75159937</v>
      </c>
      <c r="DM110" s="286"/>
      <c r="DN110" s="286"/>
      <c r="EC110" s="289" t="s">
        <v>700</v>
      </c>
      <c r="ED110" s="296">
        <v>15186300</v>
      </c>
      <c r="EE110" s="478">
        <v>5.10787997781991</v>
      </c>
      <c r="EF110" s="296">
        <v>2973112.1455366798</v>
      </c>
      <c r="EG110" s="477">
        <v>1.0844039662606211</v>
      </c>
      <c r="EH110" s="594">
        <v>250942.45722092065</v>
      </c>
      <c r="EI110" s="286">
        <v>3224054.6027576006</v>
      </c>
      <c r="EJ110" s="472">
        <f>EF110/EI110</f>
        <v>0.92216556847198417</v>
      </c>
      <c r="EK110" s="472">
        <f t="shared" si="103"/>
        <v>7.7834431528015835E-2</v>
      </c>
      <c r="EL110" s="596">
        <f>EI110/EI111</f>
        <v>0.96192729298331536</v>
      </c>
      <c r="EM110" s="453">
        <v>60.083333333333336</v>
      </c>
      <c r="EN110" s="453">
        <v>358.83333333333331</v>
      </c>
      <c r="EO110" s="453">
        <v>203.83333333333334</v>
      </c>
      <c r="EP110" s="453">
        <v>21.75</v>
      </c>
      <c r="EQ110" s="453">
        <v>151.6</v>
      </c>
      <c r="ER110" s="453">
        <v>65.45</v>
      </c>
      <c r="ES110" s="453">
        <v>77.650000000000006</v>
      </c>
      <c r="ET110" s="453">
        <v>420.5</v>
      </c>
      <c r="EU110" s="453">
        <v>175.5</v>
      </c>
      <c r="EV110" s="453">
        <v>66.315297354654589</v>
      </c>
      <c r="FH110">
        <v>28</v>
      </c>
      <c r="FI110" t="s">
        <v>851</v>
      </c>
      <c r="FJ110" t="s">
        <v>852</v>
      </c>
      <c r="FK110" t="s">
        <v>687</v>
      </c>
      <c r="FL110" s="286">
        <v>280</v>
      </c>
      <c r="FM110" s="286">
        <v>23000</v>
      </c>
      <c r="FN110" s="286">
        <v>1430508</v>
      </c>
      <c r="FO110" s="286">
        <v>1103167</v>
      </c>
      <c r="FP110">
        <v>20</v>
      </c>
      <c r="FQ110" s="925">
        <v>878.59703070032845</v>
      </c>
      <c r="FR110" s="926">
        <v>20207731.706107553</v>
      </c>
      <c r="FS110">
        <v>0</v>
      </c>
    </row>
    <row r="111" spans="1:175" ht="16" customHeight="1">
      <c r="A111">
        <v>2017</v>
      </c>
      <c r="B111">
        <v>3740</v>
      </c>
      <c r="C111" t="s">
        <v>244</v>
      </c>
      <c r="D111" t="s">
        <v>245</v>
      </c>
      <c r="E111" s="203">
        <v>92</v>
      </c>
      <c r="F111" s="203" t="s">
        <v>246</v>
      </c>
      <c r="G111" s="203" t="s">
        <v>247</v>
      </c>
      <c r="H111" s="204" t="s">
        <v>249</v>
      </c>
      <c r="I111" s="202">
        <v>220</v>
      </c>
      <c r="J111" s="202">
        <v>37033</v>
      </c>
      <c r="K111" s="202">
        <v>71230000</v>
      </c>
      <c r="L111" s="253"/>
      <c r="M111" s="254">
        <v>2019</v>
      </c>
      <c r="N111" s="254">
        <v>2670</v>
      </c>
      <c r="O111" s="255" t="s">
        <v>257</v>
      </c>
      <c r="P111" s="254">
        <v>410</v>
      </c>
      <c r="Q111" s="254">
        <v>221</v>
      </c>
      <c r="R111" s="255" t="s">
        <v>36</v>
      </c>
      <c r="S111" s="255" t="s">
        <v>197</v>
      </c>
      <c r="T111" s="350">
        <v>43626000</v>
      </c>
      <c r="U111" s="350">
        <v>79688000</v>
      </c>
      <c r="V111" s="350">
        <v>46534000</v>
      </c>
      <c r="W111" s="350">
        <v>7067000</v>
      </c>
      <c r="X111" s="350">
        <v>176915000</v>
      </c>
      <c r="AA111" s="272">
        <v>2019</v>
      </c>
      <c r="AB111" s="272">
        <v>3050</v>
      </c>
      <c r="AC111" s="273" t="s">
        <v>254</v>
      </c>
      <c r="AD111" s="272" t="s">
        <v>489</v>
      </c>
      <c r="AE111" s="272">
        <v>54</v>
      </c>
      <c r="AF111" s="274" t="s">
        <v>493</v>
      </c>
      <c r="AG111" s="272">
        <v>0</v>
      </c>
      <c r="AH111" s="272">
        <v>196</v>
      </c>
      <c r="AI111" s="272">
        <v>0</v>
      </c>
      <c r="AJ111" s="272">
        <v>192</v>
      </c>
      <c r="AK111" s="272">
        <v>0</v>
      </c>
      <c r="AL111" s="352">
        <v>0</v>
      </c>
      <c r="AX111" s="254">
        <v>2019</v>
      </c>
      <c r="AY111" s="254">
        <v>3050</v>
      </c>
      <c r="AZ111" s="255" t="s">
        <v>254</v>
      </c>
      <c r="BA111" s="254">
        <v>410</v>
      </c>
      <c r="BB111" s="254">
        <v>311</v>
      </c>
      <c r="BC111" s="255" t="s">
        <v>555</v>
      </c>
      <c r="BD111" s="255" t="s">
        <v>137</v>
      </c>
      <c r="BE111" s="350">
        <v>0</v>
      </c>
      <c r="BF111" s="350">
        <v>0</v>
      </c>
      <c r="BG111" s="350">
        <v>2030000</v>
      </c>
      <c r="BH111" s="350">
        <v>0</v>
      </c>
      <c r="BI111" s="350">
        <v>2030000</v>
      </c>
      <c r="BK111" s="272">
        <v>2019</v>
      </c>
      <c r="BL111" s="272">
        <v>3740</v>
      </c>
      <c r="BM111" s="273" t="s">
        <v>244</v>
      </c>
      <c r="BN111" s="272" t="s">
        <v>588</v>
      </c>
      <c r="BO111" s="272">
        <v>65</v>
      </c>
      <c r="BP111" s="441" t="s">
        <v>595</v>
      </c>
      <c r="BQ111" s="272">
        <v>0</v>
      </c>
      <c r="BR111" s="272">
        <v>0</v>
      </c>
      <c r="BS111" s="272">
        <v>0</v>
      </c>
      <c r="BT111" s="272">
        <v>0</v>
      </c>
      <c r="BU111" s="272">
        <v>0</v>
      </c>
      <c r="BV111" s="272">
        <v>0</v>
      </c>
      <c r="BY111" s="581" t="s">
        <v>767</v>
      </c>
      <c r="BZ111" s="584" t="s">
        <v>768</v>
      </c>
      <c r="CA111" s="16"/>
      <c r="CB111" s="488"/>
      <c r="CC111" s="569">
        <v>481120</v>
      </c>
      <c r="CD111" s="569">
        <v>5525440</v>
      </c>
      <c r="CE111" s="570">
        <v>550244215</v>
      </c>
      <c r="CF111" s="571">
        <v>304797869</v>
      </c>
      <c r="CM111" s="299">
        <v>2019</v>
      </c>
      <c r="CN111" s="299">
        <v>1370</v>
      </c>
      <c r="CO111" s="300" t="s">
        <v>255</v>
      </c>
      <c r="CP111" s="299">
        <v>755</v>
      </c>
      <c r="CQ111" s="299">
        <v>78</v>
      </c>
      <c r="CR111" s="294" t="s">
        <v>385</v>
      </c>
      <c r="CS111" s="294" t="s">
        <v>412</v>
      </c>
      <c r="CT111" s="294" t="s">
        <v>400</v>
      </c>
      <c r="CU111" s="301">
        <v>5649000</v>
      </c>
      <c r="DB111">
        <f t="shared" si="100"/>
        <v>20</v>
      </c>
      <c r="DC111" s="595" t="s">
        <v>826</v>
      </c>
      <c r="DD111" s="595" t="s">
        <v>827</v>
      </c>
      <c r="DE111" s="595" t="s">
        <v>687</v>
      </c>
      <c r="DF111" s="286">
        <v>2200</v>
      </c>
      <c r="DG111" s="286">
        <v>164600</v>
      </c>
      <c r="DH111" s="286">
        <v>9720680</v>
      </c>
      <c r="DI111" s="286">
        <v>7160833</v>
      </c>
      <c r="DJ111">
        <v>7</v>
      </c>
      <c r="DK111" s="643">
        <f t="shared" si="101"/>
        <v>1047.1475692534934</v>
      </c>
      <c r="DL111" s="408">
        <f t="shared" si="102"/>
        <v>172360489.89912501</v>
      </c>
      <c r="DM111" s="286"/>
      <c r="DN111" s="286"/>
      <c r="ED111" s="286">
        <f>SUM(ED109:ED110)</f>
        <v>15608940</v>
      </c>
      <c r="EF111" s="286">
        <f>SUM(EF109:EF110)</f>
        <v>3090786.7644714476</v>
      </c>
      <c r="EH111" s="286">
        <f>SUM(EH109:EH110)</f>
        <v>260874.66178722223</v>
      </c>
      <c r="EI111" s="286">
        <f>SUM(EI109:EI110)</f>
        <v>3351661.4262586702</v>
      </c>
      <c r="EL111" s="596">
        <f>SUM(EL109:EL110)</f>
        <v>0.99999999999999989</v>
      </c>
      <c r="FH111">
        <v>28</v>
      </c>
      <c r="FI111" t="s">
        <v>853</v>
      </c>
      <c r="FJ111" t="s">
        <v>854</v>
      </c>
      <c r="FK111" t="s">
        <v>687</v>
      </c>
      <c r="FL111" s="286">
        <v>600</v>
      </c>
      <c r="FM111" s="286">
        <v>52840</v>
      </c>
      <c r="FN111" s="286">
        <v>4012040</v>
      </c>
      <c r="FO111" s="286">
        <v>1729982</v>
      </c>
      <c r="FP111">
        <v>24</v>
      </c>
      <c r="FQ111" s="925">
        <v>2791.0393486833841</v>
      </c>
      <c r="FR111" s="926">
        <v>147478519.18443</v>
      </c>
      <c r="FS111">
        <v>0</v>
      </c>
    </row>
    <row r="112" spans="1:175" ht="16" customHeight="1">
      <c r="A112">
        <v>2017</v>
      </c>
      <c r="B112">
        <v>3740</v>
      </c>
      <c r="C112" t="s">
        <v>244</v>
      </c>
      <c r="D112" t="s">
        <v>245</v>
      </c>
      <c r="E112" s="203">
        <v>93</v>
      </c>
      <c r="F112" s="203" t="s">
        <v>250</v>
      </c>
      <c r="G112" s="203" t="s">
        <v>247</v>
      </c>
      <c r="H112" s="203" t="s">
        <v>248</v>
      </c>
      <c r="I112" s="202">
        <v>656</v>
      </c>
      <c r="J112" s="202">
        <v>20334</v>
      </c>
      <c r="K112" s="202">
        <v>57254000</v>
      </c>
      <c r="L112" s="253"/>
      <c r="M112" s="254">
        <v>2019</v>
      </c>
      <c r="N112" s="254">
        <v>2670</v>
      </c>
      <c r="O112" s="255" t="s">
        <v>257</v>
      </c>
      <c r="P112" s="254">
        <v>410</v>
      </c>
      <c r="Q112" s="254">
        <v>222</v>
      </c>
      <c r="R112" s="255" t="s">
        <v>36</v>
      </c>
      <c r="S112" s="255" t="s">
        <v>198</v>
      </c>
      <c r="T112" s="350">
        <v>142000</v>
      </c>
      <c r="U112" s="350">
        <v>593000</v>
      </c>
      <c r="V112" s="350">
        <v>3025000</v>
      </c>
      <c r="W112" s="350">
        <v>0</v>
      </c>
      <c r="X112" s="350">
        <v>3760000</v>
      </c>
      <c r="AA112" s="272">
        <v>2019</v>
      </c>
      <c r="AB112" s="272">
        <v>3050</v>
      </c>
      <c r="AC112" s="273" t="s">
        <v>254</v>
      </c>
      <c r="AD112" s="272" t="s">
        <v>489</v>
      </c>
      <c r="AE112" s="272">
        <v>55</v>
      </c>
      <c r="AF112" s="274" t="s">
        <v>494</v>
      </c>
      <c r="AG112" s="272">
        <v>70703</v>
      </c>
      <c r="AH112" s="272">
        <v>196</v>
      </c>
      <c r="AI112" s="272">
        <v>70058</v>
      </c>
      <c r="AJ112" s="272">
        <v>192</v>
      </c>
      <c r="AK112" s="272">
        <v>8363236</v>
      </c>
      <c r="AL112" s="352">
        <v>119.37588854948757</v>
      </c>
      <c r="AX112" s="254">
        <v>2019</v>
      </c>
      <c r="AY112" s="254">
        <v>3050</v>
      </c>
      <c r="AZ112" s="255" t="s">
        <v>254</v>
      </c>
      <c r="BA112" s="254">
        <v>410</v>
      </c>
      <c r="BB112" s="254">
        <v>312</v>
      </c>
      <c r="BC112" s="255" t="s">
        <v>555</v>
      </c>
      <c r="BD112" s="255" t="s">
        <v>138</v>
      </c>
      <c r="BE112" s="350">
        <v>0</v>
      </c>
      <c r="BF112" s="350">
        <v>0</v>
      </c>
      <c r="BG112" s="350">
        <v>0</v>
      </c>
      <c r="BH112" s="350">
        <v>0</v>
      </c>
      <c r="BI112" s="350">
        <v>0</v>
      </c>
      <c r="BK112" s="272">
        <v>2019</v>
      </c>
      <c r="BL112" s="272">
        <v>3740</v>
      </c>
      <c r="BM112" s="273" t="s">
        <v>244</v>
      </c>
      <c r="BN112" s="272" t="s">
        <v>588</v>
      </c>
      <c r="BO112" s="272">
        <v>66</v>
      </c>
      <c r="BP112" s="441" t="s">
        <v>596</v>
      </c>
      <c r="BQ112" s="272">
        <v>0</v>
      </c>
      <c r="BR112" s="272">
        <v>0</v>
      </c>
      <c r="BS112" s="272">
        <v>0</v>
      </c>
      <c r="BT112" s="272">
        <v>0</v>
      </c>
      <c r="BU112" s="272">
        <v>0</v>
      </c>
      <c r="BV112" s="272">
        <v>0</v>
      </c>
      <c r="BY112" s="581" t="s">
        <v>769</v>
      </c>
      <c r="BZ112" s="584" t="s">
        <v>770</v>
      </c>
      <c r="CA112" s="16"/>
      <c r="CB112" s="488"/>
      <c r="CC112" s="569">
        <v>10720</v>
      </c>
      <c r="CD112" s="569">
        <v>116880</v>
      </c>
      <c r="CE112" s="570">
        <v>12277019</v>
      </c>
      <c r="CF112" s="571">
        <v>7376372</v>
      </c>
      <c r="CM112" s="299">
        <v>2019</v>
      </c>
      <c r="CN112" s="299">
        <v>1370</v>
      </c>
      <c r="CO112" s="300" t="s">
        <v>255</v>
      </c>
      <c r="CP112" s="299">
        <v>755</v>
      </c>
      <c r="CQ112" s="299">
        <v>79</v>
      </c>
      <c r="CR112" s="294" t="s">
        <v>385</v>
      </c>
      <c r="CS112" s="294" t="s">
        <v>412</v>
      </c>
      <c r="CT112" s="294" t="s">
        <v>408</v>
      </c>
      <c r="CU112" s="301">
        <v>45210000</v>
      </c>
      <c r="DB112">
        <f t="shared" si="100"/>
        <v>20</v>
      </c>
      <c r="DC112" s="595" t="s">
        <v>826</v>
      </c>
      <c r="DD112" s="595" t="s">
        <v>827</v>
      </c>
      <c r="DE112" s="595" t="s">
        <v>686</v>
      </c>
      <c r="DF112" s="286">
        <v>1040</v>
      </c>
      <c r="DG112" s="286">
        <v>86880</v>
      </c>
      <c r="DH112" s="286">
        <v>6585782</v>
      </c>
      <c r="DI112" s="286">
        <v>4622119</v>
      </c>
      <c r="DJ112">
        <v>7</v>
      </c>
      <c r="DK112" s="643">
        <f t="shared" si="101"/>
        <v>1047.1475692534934</v>
      </c>
      <c r="DL112" s="408">
        <f t="shared" si="102"/>
        <v>90976180.816743508</v>
      </c>
      <c r="DM112" s="286"/>
      <c r="DN112" s="286"/>
      <c r="EW112" s="453"/>
      <c r="FH112">
        <v>24</v>
      </c>
      <c r="FI112" t="s">
        <v>834</v>
      </c>
      <c r="FJ112" t="s">
        <v>835</v>
      </c>
      <c r="FK112" t="s">
        <v>687</v>
      </c>
      <c r="FL112" s="286">
        <v>26160</v>
      </c>
      <c r="FM112" s="286">
        <v>2373520</v>
      </c>
      <c r="FN112" s="286">
        <v>144497412</v>
      </c>
      <c r="FO112" s="286">
        <v>89777233</v>
      </c>
      <c r="FP112">
        <v>26</v>
      </c>
      <c r="FQ112" s="925">
        <v>528.3954317970871</v>
      </c>
      <c r="FR112" s="926">
        <v>1254157125.2790222</v>
      </c>
      <c r="FS112">
        <v>0</v>
      </c>
    </row>
    <row r="113" spans="1:175" ht="16" customHeight="1">
      <c r="A113">
        <v>2017</v>
      </c>
      <c r="B113">
        <v>3740</v>
      </c>
      <c r="C113" t="s">
        <v>244</v>
      </c>
      <c r="D113" t="s">
        <v>245</v>
      </c>
      <c r="E113" s="203">
        <v>94</v>
      </c>
      <c r="F113" s="203" t="s">
        <v>250</v>
      </c>
      <c r="G113" s="203" t="s">
        <v>247</v>
      </c>
      <c r="H113" s="204" t="s">
        <v>249</v>
      </c>
      <c r="I113" s="202">
        <v>0</v>
      </c>
      <c r="J113" s="202">
        <v>0</v>
      </c>
      <c r="K113" s="202">
        <v>0</v>
      </c>
      <c r="L113" s="253"/>
      <c r="M113" s="254">
        <v>2019</v>
      </c>
      <c r="N113" s="254">
        <v>2670</v>
      </c>
      <c r="O113" s="255" t="s">
        <v>257</v>
      </c>
      <c r="P113" s="254">
        <v>410</v>
      </c>
      <c r="Q113" s="254">
        <v>223</v>
      </c>
      <c r="R113" s="255" t="s">
        <v>36</v>
      </c>
      <c r="S113" s="255" t="s">
        <v>199</v>
      </c>
      <c r="T113" s="350">
        <v>0</v>
      </c>
      <c r="U113" s="350">
        <v>0</v>
      </c>
      <c r="V113" s="350">
        <v>6215000</v>
      </c>
      <c r="W113" s="350">
        <v>0</v>
      </c>
      <c r="X113" s="350">
        <v>6215000</v>
      </c>
      <c r="AA113" s="272">
        <v>2019</v>
      </c>
      <c r="AB113" s="272">
        <v>3410</v>
      </c>
      <c r="AC113" s="273" t="s">
        <v>253</v>
      </c>
      <c r="AD113" s="272" t="s">
        <v>489</v>
      </c>
      <c r="AE113" s="272">
        <v>36</v>
      </c>
      <c r="AF113" s="274" t="s">
        <v>387</v>
      </c>
      <c r="AG113" s="272">
        <v>0</v>
      </c>
      <c r="AH113" s="272">
        <v>0</v>
      </c>
      <c r="AI113" s="272">
        <v>0</v>
      </c>
      <c r="AJ113" s="272">
        <v>0</v>
      </c>
      <c r="AK113" s="272">
        <v>0</v>
      </c>
      <c r="AL113" s="352">
        <v>0</v>
      </c>
      <c r="AX113" s="254">
        <v>2019</v>
      </c>
      <c r="AY113" s="254">
        <v>3050</v>
      </c>
      <c r="AZ113" s="255" t="s">
        <v>254</v>
      </c>
      <c r="BA113" s="254">
        <v>410</v>
      </c>
      <c r="BB113" s="254">
        <v>313</v>
      </c>
      <c r="BC113" s="255" t="s">
        <v>555</v>
      </c>
      <c r="BD113" s="255" t="s">
        <v>139</v>
      </c>
      <c r="BE113" s="350">
        <v>0</v>
      </c>
      <c r="BF113" s="350">
        <v>0</v>
      </c>
      <c r="BG113" s="350">
        <v>0</v>
      </c>
      <c r="BH113" s="350">
        <v>0</v>
      </c>
      <c r="BI113" s="350">
        <v>0</v>
      </c>
      <c r="BK113" s="272">
        <v>2019</v>
      </c>
      <c r="BL113" s="272">
        <v>3740</v>
      </c>
      <c r="BM113" s="273" t="s">
        <v>244</v>
      </c>
      <c r="BN113" s="272" t="s">
        <v>588</v>
      </c>
      <c r="BO113" s="272">
        <v>67</v>
      </c>
      <c r="BP113" s="441" t="s">
        <v>597</v>
      </c>
      <c r="BQ113" s="272">
        <v>56757</v>
      </c>
      <c r="BR113" s="272">
        <v>0</v>
      </c>
      <c r="BS113" s="272">
        <v>53872</v>
      </c>
      <c r="BT113" s="272">
        <v>0</v>
      </c>
      <c r="BU113" s="272">
        <v>1529965</v>
      </c>
      <c r="BV113" s="272">
        <v>0</v>
      </c>
      <c r="BY113" s="581" t="s">
        <v>771</v>
      </c>
      <c r="BZ113" s="584" t="s">
        <v>772</v>
      </c>
      <c r="CA113" s="16"/>
      <c r="CB113" s="488"/>
      <c r="CC113" s="569">
        <v>45320</v>
      </c>
      <c r="CD113" s="569">
        <v>490520</v>
      </c>
      <c r="CE113" s="570">
        <v>62854870</v>
      </c>
      <c r="CF113" s="571">
        <v>34116776</v>
      </c>
      <c r="CM113" s="299">
        <v>2019</v>
      </c>
      <c r="CN113" s="299">
        <v>1370</v>
      </c>
      <c r="CO113" s="300" t="s">
        <v>255</v>
      </c>
      <c r="CP113" s="299">
        <v>755</v>
      </c>
      <c r="CQ113" s="299">
        <v>80</v>
      </c>
      <c r="CR113" s="294" t="s">
        <v>385</v>
      </c>
      <c r="CS113" s="294" t="s">
        <v>412</v>
      </c>
      <c r="CT113" s="294" t="s">
        <v>409</v>
      </c>
      <c r="CU113" s="301">
        <v>136146000</v>
      </c>
      <c r="DB113">
        <f t="shared" si="100"/>
        <v>20</v>
      </c>
      <c r="DC113" s="595" t="s">
        <v>826</v>
      </c>
      <c r="DD113" s="595" t="s">
        <v>827</v>
      </c>
      <c r="DE113" s="595" t="s">
        <v>690</v>
      </c>
      <c r="DF113" s="286">
        <v>51320</v>
      </c>
      <c r="DG113" s="286">
        <v>5459284</v>
      </c>
      <c r="DH113" s="286">
        <v>256761947</v>
      </c>
      <c r="DI113" s="286">
        <v>128836459</v>
      </c>
      <c r="DJ113">
        <v>7</v>
      </c>
      <c r="DK113" s="643">
        <f t="shared" si="101"/>
        <v>1047.1475692534934</v>
      </c>
      <c r="DL113" s="408">
        <f t="shared" si="102"/>
        <v>5716675970.464489</v>
      </c>
      <c r="DM113" s="286"/>
      <c r="DN113" s="286"/>
      <c r="EC113" s="598" t="s">
        <v>1610</v>
      </c>
      <c r="FH113">
        <v>24</v>
      </c>
      <c r="FI113" t="s">
        <v>836</v>
      </c>
      <c r="FJ113" t="s">
        <v>742</v>
      </c>
      <c r="FK113" t="s">
        <v>687</v>
      </c>
      <c r="FL113" s="286">
        <v>32600</v>
      </c>
      <c r="FM113" s="286">
        <v>3071200</v>
      </c>
      <c r="FN113" s="286">
        <v>147420751</v>
      </c>
      <c r="FO113" s="286">
        <v>87274021</v>
      </c>
      <c r="FP113">
        <v>26</v>
      </c>
      <c r="FQ113" s="925">
        <v>528.3954317970871</v>
      </c>
      <c r="FR113" s="926">
        <v>1622808050.1352139</v>
      </c>
      <c r="FS113">
        <v>0</v>
      </c>
    </row>
    <row r="114" spans="1:175" ht="16" customHeight="1">
      <c r="A114">
        <v>2017</v>
      </c>
      <c r="B114">
        <v>3740</v>
      </c>
      <c r="C114" t="s">
        <v>244</v>
      </c>
      <c r="D114" t="s">
        <v>245</v>
      </c>
      <c r="E114" s="203">
        <v>97</v>
      </c>
      <c r="F114" s="203" t="s">
        <v>251</v>
      </c>
      <c r="G114" s="203" t="s">
        <v>247</v>
      </c>
      <c r="H114" s="203" t="s">
        <v>248</v>
      </c>
      <c r="I114" s="202">
        <v>2000</v>
      </c>
      <c r="J114" s="202">
        <v>10300</v>
      </c>
      <c r="K114" s="202">
        <v>17418000</v>
      </c>
      <c r="L114" s="253"/>
      <c r="M114" s="254">
        <v>2019</v>
      </c>
      <c r="N114" s="254">
        <v>2670</v>
      </c>
      <c r="O114" s="255" t="s">
        <v>257</v>
      </c>
      <c r="P114" s="254">
        <v>410</v>
      </c>
      <c r="Q114" s="254">
        <v>224</v>
      </c>
      <c r="R114" s="255" t="s">
        <v>36</v>
      </c>
      <c r="S114" s="255" t="s">
        <v>200</v>
      </c>
      <c r="T114" s="350">
        <v>0</v>
      </c>
      <c r="U114" s="350">
        <v>0</v>
      </c>
      <c r="V114" s="350">
        <v>0</v>
      </c>
      <c r="W114" s="350">
        <v>22889000</v>
      </c>
      <c r="X114" s="350">
        <v>22889000</v>
      </c>
      <c r="AA114" s="272">
        <v>2019</v>
      </c>
      <c r="AB114" s="272">
        <v>3410</v>
      </c>
      <c r="AC114" s="273" t="s">
        <v>253</v>
      </c>
      <c r="AD114" s="272" t="s">
        <v>489</v>
      </c>
      <c r="AE114" s="272">
        <v>37</v>
      </c>
      <c r="AF114" s="274" t="s">
        <v>388</v>
      </c>
      <c r="AG114" s="272">
        <v>0</v>
      </c>
      <c r="AH114" s="272">
        <v>0</v>
      </c>
      <c r="AI114" s="272">
        <v>0</v>
      </c>
      <c r="AJ114" s="272">
        <v>0</v>
      </c>
      <c r="AK114" s="272">
        <v>0</v>
      </c>
      <c r="AL114" s="352">
        <v>0</v>
      </c>
      <c r="AX114" s="254">
        <v>2019</v>
      </c>
      <c r="AY114" s="254">
        <v>3050</v>
      </c>
      <c r="AZ114" s="255" t="s">
        <v>254</v>
      </c>
      <c r="BA114" s="254">
        <v>410</v>
      </c>
      <c r="BB114" s="254">
        <v>314</v>
      </c>
      <c r="BC114" s="255" t="s">
        <v>555</v>
      </c>
      <c r="BD114" s="255" t="s">
        <v>140</v>
      </c>
      <c r="BE114" s="350">
        <v>0</v>
      </c>
      <c r="BF114" s="350">
        <v>0</v>
      </c>
      <c r="BG114" s="350">
        <v>0</v>
      </c>
      <c r="BH114" s="350">
        <v>0</v>
      </c>
      <c r="BI114" s="350">
        <v>0</v>
      </c>
      <c r="BK114" s="272">
        <v>2019</v>
      </c>
      <c r="BL114" s="272">
        <v>3740</v>
      </c>
      <c r="BM114" s="273" t="s">
        <v>244</v>
      </c>
      <c r="BN114" s="272" t="s">
        <v>588</v>
      </c>
      <c r="BO114" s="272">
        <v>68</v>
      </c>
      <c r="BP114" s="441" t="s">
        <v>598</v>
      </c>
      <c r="BQ114" s="272">
        <v>0</v>
      </c>
      <c r="BR114" s="272">
        <v>0</v>
      </c>
      <c r="BS114" s="272">
        <v>0</v>
      </c>
      <c r="BT114" s="272">
        <v>0</v>
      </c>
      <c r="BU114" s="272">
        <v>0</v>
      </c>
      <c r="BV114" s="272">
        <v>0</v>
      </c>
      <c r="BY114" s="581" t="s">
        <v>773</v>
      </c>
      <c r="BZ114" s="584" t="s">
        <v>774</v>
      </c>
      <c r="CA114" s="16"/>
      <c r="CB114" s="488"/>
      <c r="CC114" s="569">
        <v>227308</v>
      </c>
      <c r="CD114" s="569">
        <v>6022244</v>
      </c>
      <c r="CE114" s="570">
        <v>151268637</v>
      </c>
      <c r="CF114" s="571">
        <v>110516650</v>
      </c>
      <c r="CM114" s="299">
        <v>2019</v>
      </c>
      <c r="CN114" s="299">
        <v>1370</v>
      </c>
      <c r="CO114" s="300" t="s">
        <v>255</v>
      </c>
      <c r="CP114" s="299">
        <v>755</v>
      </c>
      <c r="CQ114" s="299">
        <v>81</v>
      </c>
      <c r="CR114" s="294" t="s">
        <v>385</v>
      </c>
      <c r="CS114" s="294" t="s">
        <v>413</v>
      </c>
      <c r="CT114" s="294" t="s">
        <v>402</v>
      </c>
      <c r="CU114" s="301">
        <v>46265000</v>
      </c>
      <c r="DB114">
        <f t="shared" si="100"/>
        <v>20</v>
      </c>
      <c r="DC114" s="595" t="s">
        <v>1109</v>
      </c>
      <c r="DD114" s="595" t="s">
        <v>1110</v>
      </c>
      <c r="DE114" s="595" t="s">
        <v>695</v>
      </c>
      <c r="DF114" s="286">
        <v>4040</v>
      </c>
      <c r="DG114" s="286">
        <v>352600</v>
      </c>
      <c r="DH114" s="286">
        <v>17184040</v>
      </c>
      <c r="DI114" s="286">
        <v>9288315.9999999981</v>
      </c>
      <c r="DJ114">
        <v>7</v>
      </c>
      <c r="DK114" s="643">
        <f t="shared" si="101"/>
        <v>1047.1475692534934</v>
      </c>
      <c r="DL114" s="408">
        <f t="shared" si="102"/>
        <v>369224232.91878176</v>
      </c>
      <c r="DM114" s="286"/>
      <c r="DN114" s="286"/>
      <c r="EC114" s="289" t="s">
        <v>687</v>
      </c>
      <c r="ED114" s="296">
        <v>701196</v>
      </c>
      <c r="EE114" s="478">
        <v>1</v>
      </c>
      <c r="EF114" s="296">
        <v>701196</v>
      </c>
      <c r="EG114" s="477">
        <v>1.7681514186567275</v>
      </c>
      <c r="EH114" s="594">
        <v>538624.70215642278</v>
      </c>
      <c r="EI114" s="286">
        <v>1239820.7021564227</v>
      </c>
      <c r="EJ114" s="472">
        <f>EF114/EI114</f>
        <v>0.56556242267967327</v>
      </c>
      <c r="EK114" s="472">
        <f t="shared" ref="EK114:EK125" si="104">1-EJ114</f>
        <v>0.43443757732032673</v>
      </c>
      <c r="EL114" s="596">
        <f t="shared" ref="EL114:EL125" si="105">EI114/$EI$126</f>
        <v>5.1298530163162333E-2</v>
      </c>
      <c r="EM114" s="453">
        <v>43</v>
      </c>
      <c r="EN114" s="453">
        <v>94</v>
      </c>
      <c r="EO114" s="453">
        <v>58.666666666666664</v>
      </c>
      <c r="EP114" s="453">
        <v>22.05</v>
      </c>
      <c r="EQ114" s="453">
        <v>72.099999999999994</v>
      </c>
      <c r="ER114" s="453">
        <v>36.65</v>
      </c>
      <c r="ES114" s="453">
        <v>27.45</v>
      </c>
      <c r="ET114" s="453">
        <v>117.75</v>
      </c>
      <c r="EU114" s="453">
        <v>101.75</v>
      </c>
      <c r="EV114" s="453">
        <v>75.550396750694532</v>
      </c>
      <c r="FH114">
        <v>24</v>
      </c>
      <c r="FI114" t="s">
        <v>837</v>
      </c>
      <c r="FJ114" t="s">
        <v>838</v>
      </c>
      <c r="FK114" t="s">
        <v>687</v>
      </c>
      <c r="FL114" s="286">
        <v>15140</v>
      </c>
      <c r="FM114" s="286">
        <v>1421320.0000000002</v>
      </c>
      <c r="FN114" s="286">
        <v>75780390</v>
      </c>
      <c r="FO114" s="286">
        <v>50535545</v>
      </c>
      <c r="FP114">
        <v>26</v>
      </c>
      <c r="FQ114" s="925">
        <v>528.3954317970871</v>
      </c>
      <c r="FR114" s="926">
        <v>751018995.12183595</v>
      </c>
      <c r="FS114">
        <v>0</v>
      </c>
    </row>
    <row r="115" spans="1:175" ht="16" customHeight="1">
      <c r="A115">
        <v>2017</v>
      </c>
      <c r="B115">
        <v>3740</v>
      </c>
      <c r="C115" t="s">
        <v>244</v>
      </c>
      <c r="D115" t="s">
        <v>245</v>
      </c>
      <c r="E115" s="203">
        <v>98</v>
      </c>
      <c r="F115" s="203" t="s">
        <v>251</v>
      </c>
      <c r="G115" s="203" t="s">
        <v>247</v>
      </c>
      <c r="H115" s="204" t="s">
        <v>249</v>
      </c>
      <c r="I115" s="202">
        <v>0</v>
      </c>
      <c r="J115" s="202">
        <v>0</v>
      </c>
      <c r="K115" s="202">
        <v>0</v>
      </c>
      <c r="L115" s="253"/>
      <c r="M115" s="254">
        <v>2019</v>
      </c>
      <c r="N115" s="254">
        <v>2670</v>
      </c>
      <c r="O115" s="255" t="s">
        <v>257</v>
      </c>
      <c r="P115" s="254">
        <v>410</v>
      </c>
      <c r="Q115" s="254">
        <v>225</v>
      </c>
      <c r="R115" s="255" t="s">
        <v>36</v>
      </c>
      <c r="S115" s="255" t="s">
        <v>201</v>
      </c>
      <c r="T115" s="350">
        <v>0</v>
      </c>
      <c r="U115" s="350">
        <v>0</v>
      </c>
      <c r="V115" s="350">
        <v>0</v>
      </c>
      <c r="W115" s="350">
        <v>11920000</v>
      </c>
      <c r="X115" s="350">
        <v>11920000</v>
      </c>
      <c r="AA115" s="272">
        <v>2019</v>
      </c>
      <c r="AB115" s="272">
        <v>3410</v>
      </c>
      <c r="AC115" s="273" t="s">
        <v>253</v>
      </c>
      <c r="AD115" s="272" t="s">
        <v>489</v>
      </c>
      <c r="AE115" s="272">
        <v>38</v>
      </c>
      <c r="AF115" s="274" t="s">
        <v>389</v>
      </c>
      <c r="AG115" s="272">
        <v>3255</v>
      </c>
      <c r="AH115" s="272">
        <v>0</v>
      </c>
      <c r="AI115" s="272">
        <v>2172</v>
      </c>
      <c r="AJ115" s="272">
        <v>0</v>
      </c>
      <c r="AK115" s="272">
        <v>164095</v>
      </c>
      <c r="AL115" s="352">
        <v>75.550184162062621</v>
      </c>
      <c r="AX115" s="254">
        <v>2019</v>
      </c>
      <c r="AY115" s="254">
        <v>3050</v>
      </c>
      <c r="AZ115" s="255" t="s">
        <v>254</v>
      </c>
      <c r="BA115" s="254">
        <v>410</v>
      </c>
      <c r="BB115" s="254">
        <v>315</v>
      </c>
      <c r="BC115" s="255" t="s">
        <v>555</v>
      </c>
      <c r="BD115" s="255" t="s">
        <v>141</v>
      </c>
      <c r="BE115" s="350">
        <v>0</v>
      </c>
      <c r="BF115" s="350">
        <v>0</v>
      </c>
      <c r="BG115" s="350">
        <v>0</v>
      </c>
      <c r="BH115" s="350">
        <v>0</v>
      </c>
      <c r="BI115" s="350">
        <v>0</v>
      </c>
      <c r="BK115" s="272">
        <v>2019</v>
      </c>
      <c r="BL115" s="272">
        <v>3740</v>
      </c>
      <c r="BM115" s="273" t="s">
        <v>244</v>
      </c>
      <c r="BN115" s="272" t="s">
        <v>588</v>
      </c>
      <c r="BO115" s="272">
        <v>69</v>
      </c>
      <c r="BP115" s="441" t="s">
        <v>599</v>
      </c>
      <c r="BQ115" s="272">
        <v>0</v>
      </c>
      <c r="BR115" s="272">
        <v>0</v>
      </c>
      <c r="BS115" s="272">
        <v>0</v>
      </c>
      <c r="BT115" s="272">
        <v>0</v>
      </c>
      <c r="BU115" s="272">
        <v>0</v>
      </c>
      <c r="BV115" s="272">
        <v>0</v>
      </c>
      <c r="BY115" s="581" t="s">
        <v>775</v>
      </c>
      <c r="BZ115" s="584" t="s">
        <v>776</v>
      </c>
      <c r="CA115" s="16"/>
      <c r="CB115" s="488"/>
      <c r="CC115" s="569">
        <v>151680</v>
      </c>
      <c r="CD115" s="569">
        <v>1327320</v>
      </c>
      <c r="CE115" s="570">
        <v>225106836</v>
      </c>
      <c r="CF115" s="571">
        <v>100877490</v>
      </c>
      <c r="CM115" s="299">
        <v>2019</v>
      </c>
      <c r="CN115" s="299">
        <v>1370</v>
      </c>
      <c r="CO115" s="300" t="s">
        <v>255</v>
      </c>
      <c r="CP115" s="299">
        <v>755</v>
      </c>
      <c r="CQ115" s="299">
        <v>82</v>
      </c>
      <c r="CR115" s="294" t="s">
        <v>385</v>
      </c>
      <c r="CS115" s="294" t="s">
        <v>413</v>
      </c>
      <c r="CT115" s="294" t="s">
        <v>414</v>
      </c>
      <c r="CU115" s="301">
        <v>521166000</v>
      </c>
      <c r="DB115">
        <f t="shared" si="100"/>
        <v>20</v>
      </c>
      <c r="DC115" s="595" t="s">
        <v>828</v>
      </c>
      <c r="DD115" s="595" t="s">
        <v>829</v>
      </c>
      <c r="DE115" s="595" t="s">
        <v>687</v>
      </c>
      <c r="DF115" s="286">
        <v>38400</v>
      </c>
      <c r="DG115" s="286">
        <v>2617160</v>
      </c>
      <c r="DH115" s="286">
        <v>185887840</v>
      </c>
      <c r="DI115" s="286">
        <v>154068309</v>
      </c>
      <c r="DJ115">
        <v>8</v>
      </c>
      <c r="DK115" s="643">
        <f t="shared" si="101"/>
        <v>1895.097258824158</v>
      </c>
      <c r="DL115" s="408">
        <f t="shared" si="102"/>
        <v>4959772741.904233</v>
      </c>
      <c r="DM115" s="286"/>
      <c r="DN115" s="286"/>
      <c r="EC115" s="289" t="s">
        <v>686</v>
      </c>
      <c r="ED115" s="296">
        <v>82700</v>
      </c>
      <c r="EE115" s="478">
        <v>1</v>
      </c>
      <c r="EF115" s="296">
        <v>82700</v>
      </c>
      <c r="EG115" s="477">
        <v>1.8550029036996549</v>
      </c>
      <c r="EH115" s="594">
        <v>70708.74013596146</v>
      </c>
      <c r="EI115" s="286">
        <v>153408.74013596145</v>
      </c>
      <c r="EJ115" s="472">
        <f t="shared" ref="EJ115:EJ125" si="106">EF115/EI115</f>
        <v>0.53908271410550357</v>
      </c>
      <c r="EK115" s="472">
        <f t="shared" si="104"/>
        <v>0.46091728589449643</v>
      </c>
      <c r="EL115" s="596">
        <f t="shared" si="105"/>
        <v>6.3474039991989681E-3</v>
      </c>
      <c r="EM115" s="453">
        <v>41.75</v>
      </c>
      <c r="EN115" s="453">
        <v>92.583333333333329</v>
      </c>
      <c r="EO115" s="453">
        <v>57.083333333333336</v>
      </c>
      <c r="EP115" s="453">
        <v>21.8</v>
      </c>
      <c r="EQ115" s="453">
        <v>93.25</v>
      </c>
      <c r="ER115" s="453">
        <v>33.15</v>
      </c>
      <c r="ES115" s="453">
        <v>16.75</v>
      </c>
      <c r="ET115" s="453">
        <v>108.15</v>
      </c>
      <c r="EU115" s="453">
        <v>79.650000000000006</v>
      </c>
      <c r="EV115" s="453">
        <v>72.013155985489718</v>
      </c>
      <c r="FH115">
        <v>26</v>
      </c>
      <c r="FI115" t="s">
        <v>839</v>
      </c>
      <c r="FJ115" t="s">
        <v>840</v>
      </c>
      <c r="FK115" t="s">
        <v>687</v>
      </c>
      <c r="FL115" s="286">
        <v>83124</v>
      </c>
      <c r="FM115" s="286">
        <v>7240031.9999999991</v>
      </c>
      <c r="FN115" s="286">
        <v>305535255</v>
      </c>
      <c r="FO115" s="286">
        <v>222978497.00000003</v>
      </c>
      <c r="FP115">
        <v>27</v>
      </c>
      <c r="FQ115" s="925">
        <v>985.37071332586186</v>
      </c>
      <c r="FR115" s="926">
        <v>7134115496.3420658</v>
      </c>
      <c r="FS115">
        <v>0</v>
      </c>
    </row>
    <row r="116" spans="1:175" ht="16" customHeight="1">
      <c r="A116">
        <v>2017</v>
      </c>
      <c r="B116">
        <v>3680</v>
      </c>
      <c r="C116" t="s">
        <v>252</v>
      </c>
      <c r="D116" t="s">
        <v>245</v>
      </c>
      <c r="E116" s="203">
        <v>91</v>
      </c>
      <c r="F116" s="203" t="s">
        <v>246</v>
      </c>
      <c r="G116" s="203" t="s">
        <v>247</v>
      </c>
      <c r="H116" s="203" t="s">
        <v>248</v>
      </c>
      <c r="I116" s="202">
        <v>0</v>
      </c>
      <c r="J116" s="202">
        <v>0</v>
      </c>
      <c r="K116" s="202">
        <v>0</v>
      </c>
      <c r="L116" s="253"/>
      <c r="M116" s="254">
        <v>2019</v>
      </c>
      <c r="N116" s="254">
        <v>2670</v>
      </c>
      <c r="O116" s="255" t="s">
        <v>257</v>
      </c>
      <c r="P116" s="254">
        <v>410</v>
      </c>
      <c r="Q116" s="254">
        <v>226</v>
      </c>
      <c r="R116" s="255" t="s">
        <v>36</v>
      </c>
      <c r="S116" s="255" t="s">
        <v>137</v>
      </c>
      <c r="T116" s="350">
        <v>0</v>
      </c>
      <c r="U116" s="350">
        <v>0</v>
      </c>
      <c r="V116" s="350">
        <v>10916000</v>
      </c>
      <c r="W116" s="350">
        <v>0</v>
      </c>
      <c r="X116" s="350">
        <v>10916000</v>
      </c>
      <c r="AA116" s="272">
        <v>2019</v>
      </c>
      <c r="AB116" s="272">
        <v>3410</v>
      </c>
      <c r="AC116" s="273" t="s">
        <v>253</v>
      </c>
      <c r="AD116" s="272" t="s">
        <v>489</v>
      </c>
      <c r="AE116" s="272">
        <v>39</v>
      </c>
      <c r="AF116" s="274" t="s">
        <v>390</v>
      </c>
      <c r="AG116" s="272">
        <v>34</v>
      </c>
      <c r="AH116" s="272">
        <v>0</v>
      </c>
      <c r="AI116" s="272">
        <v>0</v>
      </c>
      <c r="AJ116" s="272">
        <v>0</v>
      </c>
      <c r="AK116" s="272">
        <v>0</v>
      </c>
      <c r="AL116" s="352">
        <v>0</v>
      </c>
      <c r="AX116" s="254">
        <v>2019</v>
      </c>
      <c r="AY116" s="254">
        <v>3050</v>
      </c>
      <c r="AZ116" s="255" t="s">
        <v>254</v>
      </c>
      <c r="BA116" s="254">
        <v>410</v>
      </c>
      <c r="BB116" s="254">
        <v>316</v>
      </c>
      <c r="BC116" s="255" t="s">
        <v>555</v>
      </c>
      <c r="BD116" s="255" t="s">
        <v>142</v>
      </c>
      <c r="BE116" s="350">
        <v>0</v>
      </c>
      <c r="BF116" s="350">
        <v>0</v>
      </c>
      <c r="BG116" s="350">
        <v>0</v>
      </c>
      <c r="BH116" s="350">
        <v>0</v>
      </c>
      <c r="BI116" s="350">
        <v>0</v>
      </c>
      <c r="BK116" s="272">
        <v>2019</v>
      </c>
      <c r="BL116" s="272">
        <v>3740</v>
      </c>
      <c r="BM116" s="273" t="s">
        <v>244</v>
      </c>
      <c r="BN116" s="272" t="s">
        <v>588</v>
      </c>
      <c r="BO116" s="272">
        <v>70</v>
      </c>
      <c r="BP116" s="441" t="s">
        <v>600</v>
      </c>
      <c r="BQ116" s="272">
        <v>104963</v>
      </c>
      <c r="BR116" s="272">
        <v>0</v>
      </c>
      <c r="BS116" s="272">
        <v>101726</v>
      </c>
      <c r="BT116" s="272">
        <v>0</v>
      </c>
      <c r="BU116" s="272">
        <v>2989512</v>
      </c>
      <c r="BV116" s="272">
        <v>0</v>
      </c>
      <c r="BY116" s="581" t="s">
        <v>777</v>
      </c>
      <c r="BZ116" s="584" t="s">
        <v>778</v>
      </c>
      <c r="CA116" s="16"/>
      <c r="CB116" s="488"/>
      <c r="CC116" s="569">
        <v>1581840</v>
      </c>
      <c r="CD116" s="569">
        <v>6357520</v>
      </c>
      <c r="CE116" s="570">
        <v>711189784</v>
      </c>
      <c r="CF116" s="571">
        <v>792912234</v>
      </c>
      <c r="CM116" s="299">
        <v>2019</v>
      </c>
      <c r="CN116" s="299">
        <v>1370</v>
      </c>
      <c r="CO116" s="300" t="s">
        <v>255</v>
      </c>
      <c r="CP116" s="299">
        <v>755</v>
      </c>
      <c r="CQ116" s="299">
        <v>83</v>
      </c>
      <c r="CR116" s="294" t="s">
        <v>377</v>
      </c>
      <c r="CS116" s="294" t="s">
        <v>378</v>
      </c>
      <c r="CT116" s="294" t="s">
        <v>415</v>
      </c>
      <c r="CU116" s="301">
        <v>5947000</v>
      </c>
      <c r="DB116">
        <f t="shared" si="100"/>
        <v>20</v>
      </c>
      <c r="DC116" s="595" t="s">
        <v>828</v>
      </c>
      <c r="DD116" s="595" t="s">
        <v>829</v>
      </c>
      <c r="DE116" s="595" t="s">
        <v>686</v>
      </c>
      <c r="DF116" s="286">
        <v>17680</v>
      </c>
      <c r="DG116" s="286">
        <v>1146120</v>
      </c>
      <c r="DH116" s="286">
        <v>88459840</v>
      </c>
      <c r="DI116" s="286">
        <v>65944340</v>
      </c>
      <c r="DJ116">
        <v>8</v>
      </c>
      <c r="DK116" s="643">
        <f t="shared" si="101"/>
        <v>1895.097258824158</v>
      </c>
      <c r="DL116" s="408">
        <f t="shared" si="102"/>
        <v>2172008870.2835441</v>
      </c>
      <c r="DM116" s="286"/>
      <c r="DN116" s="286"/>
      <c r="EC116" s="289" t="s">
        <v>690</v>
      </c>
      <c r="ED116" s="296">
        <v>4481530</v>
      </c>
      <c r="EE116" s="478">
        <v>1</v>
      </c>
      <c r="EF116" s="296">
        <v>4481530</v>
      </c>
      <c r="EG116" s="477">
        <v>2.0135584440475895</v>
      </c>
      <c r="EH116" s="594">
        <v>4542292.5737525942</v>
      </c>
      <c r="EI116" s="286">
        <v>9023822.5737525932</v>
      </c>
      <c r="EJ116" s="472">
        <f t="shared" si="106"/>
        <v>0.49663321318343889</v>
      </c>
      <c r="EK116" s="472">
        <f t="shared" si="104"/>
        <v>0.50336678681656111</v>
      </c>
      <c r="EL116" s="596">
        <f t="shared" si="105"/>
        <v>0.37336756329486537</v>
      </c>
      <c r="EM116" s="453">
        <v>36.916666666666664</v>
      </c>
      <c r="EN116" s="453">
        <v>88</v>
      </c>
      <c r="EO116" s="453">
        <v>59.916666666666664</v>
      </c>
      <c r="EP116" s="453">
        <v>15</v>
      </c>
      <c r="EQ116" s="453">
        <v>60</v>
      </c>
      <c r="ER116" s="453">
        <v>31.25</v>
      </c>
      <c r="ES116" s="453">
        <v>50</v>
      </c>
      <c r="ET116" s="453">
        <v>207.65</v>
      </c>
      <c r="EU116" s="453">
        <v>110.7</v>
      </c>
      <c r="EV116" s="453">
        <v>99.47881884088693</v>
      </c>
      <c r="FH116">
        <v>26</v>
      </c>
      <c r="FI116" t="s">
        <v>841</v>
      </c>
      <c r="FJ116" t="s">
        <v>842</v>
      </c>
      <c r="FK116" t="s">
        <v>687</v>
      </c>
      <c r="FL116" s="286">
        <v>10600</v>
      </c>
      <c r="FM116" s="286">
        <v>837680</v>
      </c>
      <c r="FN116" s="286">
        <v>49798284.000000007</v>
      </c>
      <c r="FO116" s="286">
        <v>39185469</v>
      </c>
      <c r="FP116">
        <v>27</v>
      </c>
      <c r="FQ116" s="925">
        <v>985.37071332586186</v>
      </c>
      <c r="FR116" s="926">
        <v>825425339.13880801</v>
      </c>
      <c r="FS116">
        <v>0</v>
      </c>
    </row>
    <row r="117" spans="1:175" ht="16" customHeight="1">
      <c r="A117">
        <v>2017</v>
      </c>
      <c r="B117">
        <v>3680</v>
      </c>
      <c r="C117" t="s">
        <v>252</v>
      </c>
      <c r="D117" t="s">
        <v>245</v>
      </c>
      <c r="E117" s="203">
        <v>92</v>
      </c>
      <c r="F117" s="203" t="s">
        <v>246</v>
      </c>
      <c r="G117" s="203" t="s">
        <v>247</v>
      </c>
      <c r="H117" s="204" t="s">
        <v>249</v>
      </c>
      <c r="I117" s="202">
        <v>0</v>
      </c>
      <c r="J117" s="202">
        <v>0</v>
      </c>
      <c r="K117" s="202">
        <v>0</v>
      </c>
      <c r="L117" s="253"/>
      <c r="M117" s="254">
        <v>2019</v>
      </c>
      <c r="N117" s="254">
        <v>2670</v>
      </c>
      <c r="O117" s="255" t="s">
        <v>257</v>
      </c>
      <c r="P117" s="254">
        <v>410</v>
      </c>
      <c r="Q117" s="254">
        <v>227</v>
      </c>
      <c r="R117" s="255" t="s">
        <v>36</v>
      </c>
      <c r="S117" s="255" t="s">
        <v>138</v>
      </c>
      <c r="T117" s="350">
        <v>0</v>
      </c>
      <c r="U117" s="350">
        <v>0</v>
      </c>
      <c r="V117" s="350">
        <v>0</v>
      </c>
      <c r="W117" s="350">
        <v>0</v>
      </c>
      <c r="X117" s="350">
        <v>0</v>
      </c>
      <c r="AA117" s="272">
        <v>2019</v>
      </c>
      <c r="AB117" s="272">
        <v>3410</v>
      </c>
      <c r="AC117" s="273" t="s">
        <v>253</v>
      </c>
      <c r="AD117" s="272" t="s">
        <v>489</v>
      </c>
      <c r="AE117" s="272">
        <v>40</v>
      </c>
      <c r="AF117" s="274" t="s">
        <v>391</v>
      </c>
      <c r="AG117" s="272">
        <v>522</v>
      </c>
      <c r="AH117" s="272">
        <v>0</v>
      </c>
      <c r="AI117" s="272">
        <v>410</v>
      </c>
      <c r="AJ117" s="272">
        <v>0</v>
      </c>
      <c r="AK117" s="272">
        <v>37777</v>
      </c>
      <c r="AL117" s="352">
        <v>92.139024390243904</v>
      </c>
      <c r="AX117" s="254">
        <v>2019</v>
      </c>
      <c r="AY117" s="254">
        <v>3050</v>
      </c>
      <c r="AZ117" s="255" t="s">
        <v>254</v>
      </c>
      <c r="BA117" s="254">
        <v>410</v>
      </c>
      <c r="BB117" s="254">
        <v>317</v>
      </c>
      <c r="BC117" s="255" t="s">
        <v>555</v>
      </c>
      <c r="BD117" s="255" t="s">
        <v>145</v>
      </c>
      <c r="BE117" s="350">
        <v>0</v>
      </c>
      <c r="BF117" s="350">
        <v>0</v>
      </c>
      <c r="BG117" s="350">
        <v>0</v>
      </c>
      <c r="BH117" s="350">
        <v>131734000</v>
      </c>
      <c r="BI117" s="350">
        <v>131734000</v>
      </c>
      <c r="BY117" s="581" t="s">
        <v>779</v>
      </c>
      <c r="BZ117" s="584" t="s">
        <v>780</v>
      </c>
      <c r="CA117" s="16"/>
      <c r="CB117" s="488"/>
      <c r="CC117" s="569">
        <v>0</v>
      </c>
      <c r="CD117" s="569">
        <v>0</v>
      </c>
      <c r="CE117" s="570">
        <v>0</v>
      </c>
      <c r="CF117" s="571">
        <v>0</v>
      </c>
      <c r="CM117" s="299">
        <v>2019</v>
      </c>
      <c r="CN117" s="299">
        <v>1370</v>
      </c>
      <c r="CO117" s="300" t="s">
        <v>255</v>
      </c>
      <c r="CP117" s="299">
        <v>755</v>
      </c>
      <c r="CQ117" s="299">
        <v>84</v>
      </c>
      <c r="CR117" s="294" t="s">
        <v>377</v>
      </c>
      <c r="CS117" s="294" t="s">
        <v>378</v>
      </c>
      <c r="CT117" s="294" t="s">
        <v>416</v>
      </c>
      <c r="CU117" s="301">
        <v>0</v>
      </c>
      <c r="DB117">
        <f t="shared" si="100"/>
        <v>20</v>
      </c>
      <c r="DC117" s="595" t="s">
        <v>957</v>
      </c>
      <c r="DD117" s="595" t="s">
        <v>958</v>
      </c>
      <c r="DE117" s="595" t="s">
        <v>690</v>
      </c>
      <c r="DF117" s="286">
        <v>15236</v>
      </c>
      <c r="DG117" s="286">
        <v>1523586</v>
      </c>
      <c r="DH117" s="286">
        <v>59682754</v>
      </c>
      <c r="DI117" s="286">
        <v>34649070</v>
      </c>
      <c r="DJ117">
        <v>8</v>
      </c>
      <c r="DK117" s="643">
        <f t="shared" si="101"/>
        <v>1895.097258824158</v>
      </c>
      <c r="DL117" s="408">
        <f t="shared" si="102"/>
        <v>2887343652.1828637</v>
      </c>
      <c r="DM117" s="286"/>
      <c r="DN117" s="286"/>
      <c r="EC117" s="289" t="s">
        <v>689</v>
      </c>
      <c r="ED117" s="296">
        <v>503778</v>
      </c>
      <c r="EE117" s="478">
        <v>1</v>
      </c>
      <c r="EF117" s="296">
        <v>503778</v>
      </c>
      <c r="EG117" s="477">
        <v>1.9764118884082422</v>
      </c>
      <c r="EH117" s="594">
        <v>491894.82831852743</v>
      </c>
      <c r="EI117" s="286">
        <v>995672.82831852743</v>
      </c>
      <c r="EJ117" s="472">
        <f t="shared" si="106"/>
        <v>0.50596740783894878</v>
      </c>
      <c r="EK117" s="472">
        <f t="shared" si="104"/>
        <v>0.49403259216105122</v>
      </c>
      <c r="EL117" s="596">
        <f t="shared" si="105"/>
        <v>4.1196725080732702E-2</v>
      </c>
      <c r="EM117" s="453">
        <v>28.833333333333332</v>
      </c>
      <c r="EN117" s="453">
        <v>87.833333333333329</v>
      </c>
      <c r="EO117" s="453">
        <v>57.166666666666664</v>
      </c>
      <c r="EP117" s="453">
        <v>20.2</v>
      </c>
      <c r="EQ117" s="453">
        <v>72.5</v>
      </c>
      <c r="ER117" s="453">
        <v>33.15</v>
      </c>
      <c r="ES117" s="453">
        <v>38</v>
      </c>
      <c r="ET117" s="453">
        <v>122.8</v>
      </c>
      <c r="EU117" s="453">
        <v>105.05</v>
      </c>
      <c r="EV117" s="453">
        <v>92.097558845364432</v>
      </c>
      <c r="FH117">
        <v>26</v>
      </c>
      <c r="FI117" t="s">
        <v>843</v>
      </c>
      <c r="FJ117" t="s">
        <v>844</v>
      </c>
      <c r="FK117" t="s">
        <v>687</v>
      </c>
      <c r="FL117" s="286">
        <v>6760</v>
      </c>
      <c r="FM117" s="286">
        <v>568880.00000000012</v>
      </c>
      <c r="FN117" s="286">
        <v>28605197.999999996</v>
      </c>
      <c r="FO117" s="286">
        <v>21051277</v>
      </c>
      <c r="FP117">
        <v>27</v>
      </c>
      <c r="FQ117" s="925">
        <v>985.37071332586186</v>
      </c>
      <c r="FR117" s="926">
        <v>560557691.39681637</v>
      </c>
      <c r="FS117">
        <v>0</v>
      </c>
    </row>
    <row r="118" spans="1:175" ht="16" customHeight="1">
      <c r="A118">
        <v>2017</v>
      </c>
      <c r="B118">
        <v>3680</v>
      </c>
      <c r="C118" t="s">
        <v>252</v>
      </c>
      <c r="D118" t="s">
        <v>245</v>
      </c>
      <c r="E118" s="203">
        <v>93</v>
      </c>
      <c r="F118" s="203" t="s">
        <v>250</v>
      </c>
      <c r="G118" s="203" t="s">
        <v>247</v>
      </c>
      <c r="H118" s="203" t="s">
        <v>248</v>
      </c>
      <c r="I118" s="202">
        <v>0</v>
      </c>
      <c r="J118" s="202">
        <v>0</v>
      </c>
      <c r="K118" s="202">
        <v>0</v>
      </c>
      <c r="L118" s="253"/>
      <c r="M118" s="254">
        <v>2019</v>
      </c>
      <c r="N118" s="254">
        <v>2670</v>
      </c>
      <c r="O118" s="255" t="s">
        <v>257</v>
      </c>
      <c r="P118" s="254">
        <v>410</v>
      </c>
      <c r="Q118" s="254">
        <v>228</v>
      </c>
      <c r="R118" s="255" t="s">
        <v>36</v>
      </c>
      <c r="S118" s="255" t="s">
        <v>139</v>
      </c>
      <c r="T118" s="350">
        <v>0</v>
      </c>
      <c r="U118" s="350">
        <v>0</v>
      </c>
      <c r="V118" s="350">
        <v>0</v>
      </c>
      <c r="W118" s="350">
        <v>0</v>
      </c>
      <c r="X118" s="350">
        <v>0</v>
      </c>
      <c r="AA118" s="272">
        <v>2019</v>
      </c>
      <c r="AB118" s="272">
        <v>3410</v>
      </c>
      <c r="AC118" s="273" t="s">
        <v>253</v>
      </c>
      <c r="AD118" s="272" t="s">
        <v>489</v>
      </c>
      <c r="AE118" s="272">
        <v>41</v>
      </c>
      <c r="AF118" s="274" t="s">
        <v>392</v>
      </c>
      <c r="AG118" s="272">
        <v>5260</v>
      </c>
      <c r="AH118" s="272">
        <v>0</v>
      </c>
      <c r="AI118" s="272">
        <v>5084</v>
      </c>
      <c r="AJ118" s="272">
        <v>0</v>
      </c>
      <c r="AK118" s="272">
        <v>510331</v>
      </c>
      <c r="AL118" s="352">
        <v>100.37981904012588</v>
      </c>
      <c r="AX118" s="254">
        <v>2019</v>
      </c>
      <c r="AY118" s="254">
        <v>3050</v>
      </c>
      <c r="AZ118" s="255" t="s">
        <v>254</v>
      </c>
      <c r="BA118" s="254">
        <v>410</v>
      </c>
      <c r="BB118" s="254">
        <v>318</v>
      </c>
      <c r="BC118" s="255" t="s">
        <v>555</v>
      </c>
      <c r="BD118" s="255" t="s">
        <v>152</v>
      </c>
      <c r="BE118" s="350">
        <v>0</v>
      </c>
      <c r="BF118" s="350">
        <v>0</v>
      </c>
      <c r="BG118" s="350">
        <v>97000</v>
      </c>
      <c r="BH118" s="350">
        <v>0</v>
      </c>
      <c r="BI118" s="350">
        <v>97000</v>
      </c>
      <c r="BY118" s="581" t="s">
        <v>781</v>
      </c>
      <c r="BZ118" s="584" t="s">
        <v>782</v>
      </c>
      <c r="CA118" s="16"/>
      <c r="CB118" s="488"/>
      <c r="CC118" s="569">
        <v>338560</v>
      </c>
      <c r="CD118" s="569">
        <v>5127960</v>
      </c>
      <c r="CE118" s="570">
        <v>555059684</v>
      </c>
      <c r="CF118" s="571">
        <v>278274420</v>
      </c>
      <c r="CM118" s="299">
        <v>2019</v>
      </c>
      <c r="CN118" s="299">
        <v>1370</v>
      </c>
      <c r="CO118" s="300" t="s">
        <v>255</v>
      </c>
      <c r="CP118" s="299">
        <v>755</v>
      </c>
      <c r="CQ118" s="299">
        <v>85</v>
      </c>
      <c r="CR118" s="294" t="s">
        <v>339</v>
      </c>
      <c r="CS118" s="294" t="s">
        <v>340</v>
      </c>
      <c r="CT118" s="294" t="s">
        <v>322</v>
      </c>
      <c r="CU118" s="301">
        <v>282666000</v>
      </c>
      <c r="DB118">
        <f t="shared" si="100"/>
        <v>20</v>
      </c>
      <c r="DC118" s="595" t="s">
        <v>959</v>
      </c>
      <c r="DD118" s="595" t="s">
        <v>960</v>
      </c>
      <c r="DE118" s="595" t="s">
        <v>690</v>
      </c>
      <c r="DF118" s="286">
        <v>35032</v>
      </c>
      <c r="DG118" s="286">
        <v>3181760</v>
      </c>
      <c r="DH118" s="286">
        <v>179502592</v>
      </c>
      <c r="DI118" s="286">
        <v>90735348.999999985</v>
      </c>
      <c r="DJ118">
        <v>8</v>
      </c>
      <c r="DK118" s="643">
        <f t="shared" si="101"/>
        <v>1895.097258824158</v>
      </c>
      <c r="DL118" s="408">
        <f t="shared" si="102"/>
        <v>6029744654.2363529</v>
      </c>
      <c r="DM118" s="286"/>
      <c r="DN118" s="286"/>
      <c r="EC118" s="289" t="s">
        <v>694</v>
      </c>
      <c r="ED118" s="296">
        <v>517423</v>
      </c>
      <c r="EE118" s="478">
        <v>1</v>
      </c>
      <c r="EF118" s="296">
        <v>517423</v>
      </c>
      <c r="EG118" s="477">
        <v>1.9706081166505121</v>
      </c>
      <c r="EH118" s="594">
        <v>502214.9635416579</v>
      </c>
      <c r="EI118" s="286">
        <v>1019637.9635416579</v>
      </c>
      <c r="EJ118" s="472">
        <f t="shared" si="106"/>
        <v>0.50745756680416143</v>
      </c>
      <c r="EK118" s="472">
        <f t="shared" si="104"/>
        <v>0.49254243319583857</v>
      </c>
      <c r="EL118" s="596">
        <f t="shared" si="105"/>
        <v>4.2188300886790597E-2</v>
      </c>
      <c r="EM118" s="453">
        <v>24</v>
      </c>
      <c r="EN118" s="453">
        <v>187.41666666666666</v>
      </c>
      <c r="EO118" s="453">
        <v>80.416666666666671</v>
      </c>
      <c r="EP118" s="453">
        <v>0.05</v>
      </c>
      <c r="EQ118" s="453">
        <v>265.25</v>
      </c>
      <c r="ER118" s="453">
        <v>32.1</v>
      </c>
      <c r="ES118" s="453">
        <v>0.05</v>
      </c>
      <c r="ET118" s="453">
        <v>499.99950000000001</v>
      </c>
      <c r="EU118" s="453">
        <v>102.45</v>
      </c>
      <c r="EV118" s="453">
        <v>83.444147245097341</v>
      </c>
      <c r="FH118">
        <v>26</v>
      </c>
      <c r="FI118" t="s">
        <v>845</v>
      </c>
      <c r="FJ118" t="s">
        <v>846</v>
      </c>
      <c r="FK118" t="s">
        <v>687</v>
      </c>
      <c r="FL118" s="286">
        <v>54240</v>
      </c>
      <c r="FM118" s="286">
        <v>4533520</v>
      </c>
      <c r="FN118" s="286">
        <v>218226928</v>
      </c>
      <c r="FO118" s="286">
        <v>150610370</v>
      </c>
      <c r="FP118">
        <v>27</v>
      </c>
      <c r="FQ118" s="925">
        <v>985.37071332586186</v>
      </c>
      <c r="FR118" s="926">
        <v>4467197836.2770615</v>
      </c>
      <c r="FS118">
        <v>0</v>
      </c>
    </row>
    <row r="119" spans="1:175" ht="16" customHeight="1">
      <c r="A119">
        <v>2017</v>
      </c>
      <c r="B119">
        <v>3680</v>
      </c>
      <c r="C119" t="s">
        <v>252</v>
      </c>
      <c r="D119" t="s">
        <v>245</v>
      </c>
      <c r="E119" s="203">
        <v>94</v>
      </c>
      <c r="F119" s="203" t="s">
        <v>250</v>
      </c>
      <c r="G119" s="203" t="s">
        <v>247</v>
      </c>
      <c r="H119" s="203" t="s">
        <v>249</v>
      </c>
      <c r="I119" s="202">
        <v>0</v>
      </c>
      <c r="J119" s="202">
        <v>0</v>
      </c>
      <c r="K119" s="202">
        <v>0</v>
      </c>
      <c r="L119" s="253"/>
      <c r="M119" s="254">
        <v>2019</v>
      </c>
      <c r="N119" s="254">
        <v>2670</v>
      </c>
      <c r="O119" s="255" t="s">
        <v>257</v>
      </c>
      <c r="P119" s="254">
        <v>410</v>
      </c>
      <c r="Q119" s="254">
        <v>229</v>
      </c>
      <c r="R119" s="255" t="s">
        <v>36</v>
      </c>
      <c r="S119" s="255" t="s">
        <v>140</v>
      </c>
      <c r="T119" s="350">
        <v>0</v>
      </c>
      <c r="U119" s="350">
        <v>0</v>
      </c>
      <c r="V119" s="350">
        <v>0</v>
      </c>
      <c r="W119" s="350">
        <v>0</v>
      </c>
      <c r="X119" s="350">
        <v>0</v>
      </c>
      <c r="AA119" s="272">
        <v>2019</v>
      </c>
      <c r="AB119" s="272">
        <v>3410</v>
      </c>
      <c r="AC119" s="273" t="s">
        <v>253</v>
      </c>
      <c r="AD119" s="272" t="s">
        <v>489</v>
      </c>
      <c r="AE119" s="272">
        <v>42</v>
      </c>
      <c r="AF119" s="274" t="s">
        <v>393</v>
      </c>
      <c r="AG119" s="272">
        <v>0</v>
      </c>
      <c r="AH119" s="272">
        <v>0</v>
      </c>
      <c r="AI119" s="272">
        <v>0</v>
      </c>
      <c r="AJ119" s="272">
        <v>0</v>
      </c>
      <c r="AK119" s="272">
        <v>0</v>
      </c>
      <c r="AL119" s="352">
        <v>0</v>
      </c>
      <c r="AX119" s="254">
        <v>2019</v>
      </c>
      <c r="AY119" s="254">
        <v>3050</v>
      </c>
      <c r="AZ119" s="255" t="s">
        <v>254</v>
      </c>
      <c r="BA119" s="254">
        <v>410</v>
      </c>
      <c r="BB119" s="254">
        <v>319</v>
      </c>
      <c r="BC119" s="255" t="s">
        <v>555</v>
      </c>
      <c r="BD119" s="255" t="s">
        <v>153</v>
      </c>
      <c r="BE119" s="350">
        <v>0</v>
      </c>
      <c r="BF119" s="350">
        <v>0</v>
      </c>
      <c r="BG119" s="350">
        <v>0</v>
      </c>
      <c r="BH119" s="350">
        <v>0</v>
      </c>
      <c r="BI119" s="350">
        <v>0</v>
      </c>
      <c r="BY119" s="581" t="s">
        <v>783</v>
      </c>
      <c r="BZ119" s="584" t="s">
        <v>784</v>
      </c>
      <c r="CA119" s="16"/>
      <c r="CB119" s="488"/>
      <c r="CC119" s="569">
        <v>9638</v>
      </c>
      <c r="CD119" s="569">
        <v>132000</v>
      </c>
      <c r="CE119" s="570">
        <v>0</v>
      </c>
      <c r="CF119" s="571">
        <v>0</v>
      </c>
      <c r="CM119" s="299">
        <v>2019</v>
      </c>
      <c r="CN119" s="299">
        <v>1370</v>
      </c>
      <c r="CO119" s="300" t="s">
        <v>255</v>
      </c>
      <c r="CP119" s="299">
        <v>755</v>
      </c>
      <c r="CQ119" s="299">
        <v>86</v>
      </c>
      <c r="CR119" s="294" t="s">
        <v>339</v>
      </c>
      <c r="CS119" s="294" t="s">
        <v>340</v>
      </c>
      <c r="CT119" s="294" t="s">
        <v>323</v>
      </c>
      <c r="CU119" s="301">
        <v>140295000</v>
      </c>
      <c r="DB119">
        <f t="shared" si="100"/>
        <v>20</v>
      </c>
      <c r="DC119" s="595" t="s">
        <v>830</v>
      </c>
      <c r="DD119" s="595" t="s">
        <v>831</v>
      </c>
      <c r="DE119" s="595" t="s">
        <v>687</v>
      </c>
      <c r="DF119" s="286">
        <v>3320</v>
      </c>
      <c r="DG119" s="286">
        <v>290360</v>
      </c>
      <c r="DH119" s="286">
        <v>19304640</v>
      </c>
      <c r="DI119" s="286">
        <v>16101095</v>
      </c>
      <c r="DJ119">
        <v>8</v>
      </c>
      <c r="DK119" s="643">
        <f t="shared" si="101"/>
        <v>1895.097258824158</v>
      </c>
      <c r="DL119" s="408">
        <f t="shared" si="102"/>
        <v>550260440.07218254</v>
      </c>
      <c r="DM119" s="286"/>
      <c r="DN119" s="286"/>
      <c r="EC119" s="289" t="s">
        <v>688</v>
      </c>
      <c r="ED119" s="296">
        <v>293496</v>
      </c>
      <c r="EE119" s="478">
        <v>1</v>
      </c>
      <c r="EF119" s="296">
        <v>293496</v>
      </c>
      <c r="EG119" s="477">
        <v>1.987832589432553</v>
      </c>
      <c r="EH119" s="594">
        <v>289924.91366809659</v>
      </c>
      <c r="EI119" s="286">
        <v>583420.91366809653</v>
      </c>
      <c r="EJ119" s="472">
        <f t="shared" si="106"/>
        <v>0.50306047164940593</v>
      </c>
      <c r="EK119" s="472">
        <f t="shared" si="104"/>
        <v>0.49693952835059407</v>
      </c>
      <c r="EL119" s="596">
        <f t="shared" si="105"/>
        <v>2.4139486689944475E-2</v>
      </c>
      <c r="EM119" s="453">
        <v>28.583333333333332</v>
      </c>
      <c r="EN119" s="453">
        <v>111.5</v>
      </c>
      <c r="EO119" s="453">
        <v>57.666666666666664</v>
      </c>
      <c r="EP119" s="453">
        <v>18.8</v>
      </c>
      <c r="EQ119" s="453">
        <v>67.5</v>
      </c>
      <c r="ER119" s="453">
        <v>34.1</v>
      </c>
      <c r="ES119" s="453">
        <v>35</v>
      </c>
      <c r="ET119" s="453">
        <v>251.65</v>
      </c>
      <c r="EU119" s="453">
        <v>106.5</v>
      </c>
      <c r="EV119" s="453">
        <v>95.560433532313894</v>
      </c>
      <c r="FH119">
        <v>26</v>
      </c>
      <c r="FI119" t="s">
        <v>847</v>
      </c>
      <c r="FJ119" t="s">
        <v>848</v>
      </c>
      <c r="FK119" t="s">
        <v>687</v>
      </c>
      <c r="FL119" s="286">
        <v>2040</v>
      </c>
      <c r="FM119" s="286">
        <v>172920.00000000003</v>
      </c>
      <c r="FN119" s="286">
        <v>9874872</v>
      </c>
      <c r="FO119" s="286">
        <v>7078290</v>
      </c>
      <c r="FP119">
        <v>27</v>
      </c>
      <c r="FQ119" s="925">
        <v>985.37071332586186</v>
      </c>
      <c r="FR119" s="926">
        <v>170390303.74830806</v>
      </c>
      <c r="FS119">
        <v>0</v>
      </c>
    </row>
    <row r="120" spans="1:175" ht="16" customHeight="1">
      <c r="A120">
        <v>2017</v>
      </c>
      <c r="B120">
        <v>3680</v>
      </c>
      <c r="C120" t="s">
        <v>252</v>
      </c>
      <c r="D120" t="s">
        <v>245</v>
      </c>
      <c r="E120" s="203">
        <v>97</v>
      </c>
      <c r="F120" s="203" t="s">
        <v>251</v>
      </c>
      <c r="G120" s="203" t="s">
        <v>247</v>
      </c>
      <c r="H120" s="203" t="s">
        <v>248</v>
      </c>
      <c r="I120" s="202">
        <v>0</v>
      </c>
      <c r="J120" s="202">
        <v>0</v>
      </c>
      <c r="K120" s="202">
        <v>0</v>
      </c>
      <c r="L120" s="253"/>
      <c r="M120" s="254">
        <v>2019</v>
      </c>
      <c r="N120" s="254">
        <v>2670</v>
      </c>
      <c r="O120" s="255" t="s">
        <v>257</v>
      </c>
      <c r="P120" s="254">
        <v>410</v>
      </c>
      <c r="Q120" s="254">
        <v>230</v>
      </c>
      <c r="R120" s="255" t="s">
        <v>36</v>
      </c>
      <c r="S120" s="255" t="s">
        <v>141</v>
      </c>
      <c r="T120" s="350">
        <v>0</v>
      </c>
      <c r="U120" s="350">
        <v>0</v>
      </c>
      <c r="V120" s="350">
        <v>411133000</v>
      </c>
      <c r="W120" s="350">
        <v>0</v>
      </c>
      <c r="X120" s="350">
        <v>411133000</v>
      </c>
      <c r="AA120" s="272">
        <v>2019</v>
      </c>
      <c r="AB120" s="272">
        <v>3410</v>
      </c>
      <c r="AC120" s="273" t="s">
        <v>253</v>
      </c>
      <c r="AD120" s="272" t="s">
        <v>489</v>
      </c>
      <c r="AE120" s="272">
        <v>43</v>
      </c>
      <c r="AF120" s="274" t="s">
        <v>394</v>
      </c>
      <c r="AG120" s="272">
        <v>156</v>
      </c>
      <c r="AH120" s="272">
        <v>0</v>
      </c>
      <c r="AI120" s="272">
        <v>155</v>
      </c>
      <c r="AJ120" s="272">
        <v>0</v>
      </c>
      <c r="AK120" s="272">
        <v>15500</v>
      </c>
      <c r="AL120" s="352">
        <v>100</v>
      </c>
      <c r="AX120" s="254">
        <v>2019</v>
      </c>
      <c r="AY120" s="254">
        <v>3050</v>
      </c>
      <c r="AZ120" s="255" t="s">
        <v>254</v>
      </c>
      <c r="BA120" s="254">
        <v>410</v>
      </c>
      <c r="BB120" s="254">
        <v>320</v>
      </c>
      <c r="BC120" s="255" t="s">
        <v>555</v>
      </c>
      <c r="BD120" s="255" t="s">
        <v>202</v>
      </c>
      <c r="BE120" s="350">
        <v>0</v>
      </c>
      <c r="BF120" s="350">
        <v>0</v>
      </c>
      <c r="BG120" s="350">
        <v>0</v>
      </c>
      <c r="BH120" s="350">
        <v>0</v>
      </c>
      <c r="BI120" s="350">
        <v>0</v>
      </c>
      <c r="BY120" s="581" t="s">
        <v>785</v>
      </c>
      <c r="BZ120" s="584" t="s">
        <v>786</v>
      </c>
      <c r="CA120" s="16"/>
      <c r="CB120" s="488"/>
      <c r="CC120" s="569">
        <v>9630360</v>
      </c>
      <c r="CD120" s="569">
        <v>131731000</v>
      </c>
      <c r="CE120" s="570">
        <v>9736004029</v>
      </c>
      <c r="CF120" s="571">
        <v>6803819268</v>
      </c>
      <c r="CM120" s="299">
        <v>2019</v>
      </c>
      <c r="CN120" s="299">
        <v>1370</v>
      </c>
      <c r="CO120" s="300" t="s">
        <v>255</v>
      </c>
      <c r="CP120" s="299">
        <v>755</v>
      </c>
      <c r="CQ120" s="299">
        <v>87</v>
      </c>
      <c r="CR120" s="294" t="s">
        <v>339</v>
      </c>
      <c r="CS120" s="294" t="s">
        <v>341</v>
      </c>
      <c r="CT120" s="294" t="s">
        <v>325</v>
      </c>
      <c r="CU120" s="301">
        <v>1093966000</v>
      </c>
      <c r="DB120">
        <f t="shared" si="100"/>
        <v>20</v>
      </c>
      <c r="DC120" s="595" t="s">
        <v>830</v>
      </c>
      <c r="DD120" s="595" t="s">
        <v>831</v>
      </c>
      <c r="DE120" s="595" t="s">
        <v>692</v>
      </c>
      <c r="DF120" s="286">
        <v>14444</v>
      </c>
      <c r="DG120" s="286">
        <v>1106496</v>
      </c>
      <c r="DH120" s="286">
        <v>81790616</v>
      </c>
      <c r="DI120" s="286">
        <v>91626980</v>
      </c>
      <c r="DJ120">
        <v>8</v>
      </c>
      <c r="DK120" s="643">
        <f t="shared" si="101"/>
        <v>1895.097258824158</v>
      </c>
      <c r="DL120" s="408">
        <f t="shared" si="102"/>
        <v>2096917536.4998956</v>
      </c>
      <c r="DM120" s="286"/>
      <c r="DN120" s="286"/>
      <c r="EC120" s="289" t="s">
        <v>691</v>
      </c>
      <c r="ED120" s="296">
        <v>758141</v>
      </c>
      <c r="EE120" s="478">
        <v>1</v>
      </c>
      <c r="EF120" s="296">
        <v>758141</v>
      </c>
      <c r="EG120" s="477">
        <v>2.0178512661050467</v>
      </c>
      <c r="EH120" s="594">
        <v>771674.77673614619</v>
      </c>
      <c r="EI120" s="286">
        <v>1529815.7767361463</v>
      </c>
      <c r="EJ120" s="472">
        <f t="shared" si="106"/>
        <v>0.49557666454289662</v>
      </c>
      <c r="EK120" s="472">
        <f t="shared" si="104"/>
        <v>0.50442333545710338</v>
      </c>
      <c r="EL120" s="596">
        <f t="shared" si="105"/>
        <v>6.3297298254888862E-2</v>
      </c>
      <c r="EM120" s="453">
        <v>32.333333333333336</v>
      </c>
      <c r="EN120" s="453">
        <v>75.583333333333329</v>
      </c>
      <c r="EO120" s="453">
        <v>51</v>
      </c>
      <c r="EP120" s="453">
        <v>17</v>
      </c>
      <c r="EQ120" s="453">
        <v>45.9</v>
      </c>
      <c r="ER120" s="453">
        <v>28.4</v>
      </c>
      <c r="ES120" s="453">
        <v>70</v>
      </c>
      <c r="ET120" s="453">
        <v>122.5</v>
      </c>
      <c r="EU120" s="453">
        <v>112.45</v>
      </c>
      <c r="EV120" s="453">
        <v>101.80793282516049</v>
      </c>
      <c r="FH120">
        <v>26</v>
      </c>
      <c r="FI120" t="s">
        <v>849</v>
      </c>
      <c r="FJ120" t="s">
        <v>850</v>
      </c>
      <c r="FK120" t="s">
        <v>687</v>
      </c>
      <c r="FL120" s="286">
        <v>235200</v>
      </c>
      <c r="FM120" s="286">
        <v>17740560</v>
      </c>
      <c r="FN120" s="286">
        <v>1081571221</v>
      </c>
      <c r="FO120" s="286">
        <v>676273001</v>
      </c>
      <c r="FP120">
        <v>27</v>
      </c>
      <c r="FQ120" s="925">
        <v>985.37071332586186</v>
      </c>
      <c r="FR120" s="926">
        <v>17481028262.000252</v>
      </c>
      <c r="FS120">
        <v>0</v>
      </c>
    </row>
    <row r="121" spans="1:175" ht="16" customHeight="1">
      <c r="A121">
        <v>2017</v>
      </c>
      <c r="B121">
        <v>3680</v>
      </c>
      <c r="C121" t="s">
        <v>252</v>
      </c>
      <c r="D121" t="s">
        <v>245</v>
      </c>
      <c r="E121" s="203">
        <v>98</v>
      </c>
      <c r="F121" s="203" t="s">
        <v>251</v>
      </c>
      <c r="G121" s="203" t="s">
        <v>247</v>
      </c>
      <c r="H121" s="204" t="s">
        <v>249</v>
      </c>
      <c r="I121" s="202">
        <v>0</v>
      </c>
      <c r="J121" s="202">
        <v>0</v>
      </c>
      <c r="K121" s="202">
        <v>0</v>
      </c>
      <c r="L121" s="253"/>
      <c r="M121" s="254">
        <v>2019</v>
      </c>
      <c r="N121" s="254">
        <v>2670</v>
      </c>
      <c r="O121" s="255" t="s">
        <v>257</v>
      </c>
      <c r="P121" s="254">
        <v>410</v>
      </c>
      <c r="Q121" s="254">
        <v>231</v>
      </c>
      <c r="R121" s="255" t="s">
        <v>36</v>
      </c>
      <c r="S121" s="255" t="s">
        <v>142</v>
      </c>
      <c r="T121" s="350">
        <v>0</v>
      </c>
      <c r="U121" s="350">
        <v>0</v>
      </c>
      <c r="V121" s="350">
        <v>-50835000</v>
      </c>
      <c r="W121" s="350">
        <v>0</v>
      </c>
      <c r="X121" s="350">
        <v>-50835000</v>
      </c>
      <c r="AA121" s="272">
        <v>2019</v>
      </c>
      <c r="AB121" s="272">
        <v>3410</v>
      </c>
      <c r="AC121" s="273" t="s">
        <v>253</v>
      </c>
      <c r="AD121" s="272" t="s">
        <v>489</v>
      </c>
      <c r="AE121" s="272">
        <v>44</v>
      </c>
      <c r="AF121" s="274" t="s">
        <v>395</v>
      </c>
      <c r="AG121" s="272">
        <v>0</v>
      </c>
      <c r="AH121" s="272">
        <v>0</v>
      </c>
      <c r="AI121" s="272">
        <v>0</v>
      </c>
      <c r="AJ121" s="272">
        <v>0</v>
      </c>
      <c r="AK121" s="272">
        <v>0</v>
      </c>
      <c r="AL121" s="352">
        <v>0</v>
      </c>
      <c r="AX121" s="254">
        <v>2019</v>
      </c>
      <c r="AY121" s="254">
        <v>3050</v>
      </c>
      <c r="AZ121" s="255" t="s">
        <v>254</v>
      </c>
      <c r="BA121" s="254">
        <v>410</v>
      </c>
      <c r="BB121" s="254">
        <v>321</v>
      </c>
      <c r="BC121" s="255" t="s">
        <v>555</v>
      </c>
      <c r="BD121" s="255" t="s">
        <v>156</v>
      </c>
      <c r="BE121" s="350">
        <v>0</v>
      </c>
      <c r="BF121" s="350">
        <v>0</v>
      </c>
      <c r="BG121" s="350">
        <v>0</v>
      </c>
      <c r="BH121" s="350">
        <v>0</v>
      </c>
      <c r="BI121" s="350">
        <v>0</v>
      </c>
      <c r="BY121" s="581" t="s">
        <v>787</v>
      </c>
      <c r="BZ121" s="584" t="s">
        <v>788</v>
      </c>
      <c r="CA121" s="16"/>
      <c r="CB121" s="488"/>
      <c r="CC121" s="569">
        <v>163360</v>
      </c>
      <c r="CD121" s="569">
        <v>1697520</v>
      </c>
      <c r="CE121" s="570">
        <v>344103040</v>
      </c>
      <c r="CF121" s="571">
        <v>135649266</v>
      </c>
      <c r="CM121" s="299">
        <v>2019</v>
      </c>
      <c r="CN121" s="299">
        <v>1370</v>
      </c>
      <c r="CO121" s="300" t="s">
        <v>255</v>
      </c>
      <c r="CP121" s="299">
        <v>755</v>
      </c>
      <c r="CQ121" s="299">
        <v>88</v>
      </c>
      <c r="CR121" s="294" t="s">
        <v>339</v>
      </c>
      <c r="CS121" s="294" t="s">
        <v>341</v>
      </c>
      <c r="CT121" s="294" t="s">
        <v>342</v>
      </c>
      <c r="CU121" s="301">
        <v>1516927000</v>
      </c>
      <c r="DB121">
        <f t="shared" si="100"/>
        <v>20</v>
      </c>
      <c r="DC121" s="595" t="s">
        <v>1111</v>
      </c>
      <c r="DD121" s="595" t="s">
        <v>1112</v>
      </c>
      <c r="DE121" s="595" t="s">
        <v>695</v>
      </c>
      <c r="DF121" s="286">
        <v>7102</v>
      </c>
      <c r="DG121" s="286">
        <v>666877</v>
      </c>
      <c r="DH121" s="286">
        <v>40652593</v>
      </c>
      <c r="DI121" s="286">
        <v>19257544</v>
      </c>
      <c r="DJ121">
        <v>4</v>
      </c>
      <c r="DK121" s="643">
        <f t="shared" si="101"/>
        <v>372.51982588160462</v>
      </c>
      <c r="DL121" s="408">
        <f t="shared" si="102"/>
        <v>248424903.92444685</v>
      </c>
      <c r="DM121" s="286"/>
      <c r="DN121" s="286"/>
      <c r="EC121" s="289" t="s">
        <v>701</v>
      </c>
      <c r="ED121" s="296">
        <v>10888</v>
      </c>
      <c r="EE121" s="478">
        <v>1</v>
      </c>
      <c r="EF121" s="296">
        <v>10888</v>
      </c>
      <c r="EG121" s="477">
        <v>1.3469322412893829</v>
      </c>
      <c r="EH121" s="594">
        <v>3777.3982431588015</v>
      </c>
      <c r="EI121" s="286">
        <v>14665.398243158801</v>
      </c>
      <c r="EJ121" s="472">
        <f t="shared" si="106"/>
        <v>0.74242784406342988</v>
      </c>
      <c r="EK121" s="472">
        <f t="shared" si="104"/>
        <v>0.25757215593657012</v>
      </c>
      <c r="EL121" s="596">
        <f t="shared" si="105"/>
        <v>6.0679207309812574E-4</v>
      </c>
      <c r="EM121" s="453">
        <v>45.833333333333336</v>
      </c>
      <c r="EN121" s="453">
        <v>264.66666666666669</v>
      </c>
      <c r="EO121" s="453">
        <v>87.75</v>
      </c>
      <c r="EP121" s="453">
        <v>22.4</v>
      </c>
      <c r="EQ121" s="453">
        <v>399.6</v>
      </c>
      <c r="ER121" s="453">
        <v>32.299999999999997</v>
      </c>
      <c r="ES121" s="453">
        <v>23.9</v>
      </c>
      <c r="ET121" s="453">
        <v>375</v>
      </c>
      <c r="EU121" s="453">
        <v>111.9</v>
      </c>
      <c r="EV121" s="453">
        <v>98.208302718589266</v>
      </c>
      <c r="FH121">
        <v>29</v>
      </c>
      <c r="FI121" t="s">
        <v>857</v>
      </c>
      <c r="FJ121" t="s">
        <v>858</v>
      </c>
      <c r="FK121" t="s">
        <v>687</v>
      </c>
      <c r="FL121" s="286">
        <v>8120</v>
      </c>
      <c r="FM121" s="286">
        <v>698172</v>
      </c>
      <c r="FN121" s="286">
        <v>42842619.999999993</v>
      </c>
      <c r="FO121" s="286">
        <v>22777124</v>
      </c>
      <c r="FP121">
        <v>31</v>
      </c>
      <c r="FQ121" s="925">
        <v>254.37342899264078</v>
      </c>
      <c r="FR121" s="926">
        <v>177596405.66665</v>
      </c>
      <c r="FS121">
        <v>0</v>
      </c>
    </row>
    <row r="122" spans="1:175" ht="16" customHeight="1">
      <c r="A122">
        <v>2017</v>
      </c>
      <c r="B122">
        <v>3410</v>
      </c>
      <c r="C122" t="s">
        <v>253</v>
      </c>
      <c r="D122" t="s">
        <v>245</v>
      </c>
      <c r="E122" s="203">
        <v>91</v>
      </c>
      <c r="F122" s="203" t="s">
        <v>246</v>
      </c>
      <c r="G122" s="203" t="s">
        <v>247</v>
      </c>
      <c r="H122" s="203" t="s">
        <v>248</v>
      </c>
      <c r="I122" s="202">
        <v>0</v>
      </c>
      <c r="J122" s="202">
        <v>0</v>
      </c>
      <c r="K122" s="202">
        <v>0</v>
      </c>
      <c r="L122" s="253"/>
      <c r="M122" s="254">
        <v>2019</v>
      </c>
      <c r="N122" s="254">
        <v>2670</v>
      </c>
      <c r="O122" s="255" t="s">
        <v>257</v>
      </c>
      <c r="P122" s="254">
        <v>410</v>
      </c>
      <c r="Q122" s="254">
        <v>232</v>
      </c>
      <c r="R122" s="255" t="s">
        <v>36</v>
      </c>
      <c r="S122" s="255" t="s">
        <v>145</v>
      </c>
      <c r="T122" s="350">
        <v>0</v>
      </c>
      <c r="U122" s="350">
        <v>0</v>
      </c>
      <c r="V122" s="350">
        <v>0</v>
      </c>
      <c r="W122" s="350">
        <v>70826000</v>
      </c>
      <c r="X122" s="350">
        <v>70826000</v>
      </c>
      <c r="AA122" s="272">
        <v>2019</v>
      </c>
      <c r="AB122" s="272">
        <v>3410</v>
      </c>
      <c r="AC122" s="273" t="s">
        <v>253</v>
      </c>
      <c r="AD122" s="272" t="s">
        <v>489</v>
      </c>
      <c r="AE122" s="272">
        <v>45</v>
      </c>
      <c r="AF122" s="274" t="s">
        <v>396</v>
      </c>
      <c r="AG122" s="272">
        <v>0</v>
      </c>
      <c r="AH122" s="272">
        <v>0</v>
      </c>
      <c r="AI122" s="272">
        <v>0</v>
      </c>
      <c r="AJ122" s="272">
        <v>0</v>
      </c>
      <c r="AK122" s="272">
        <v>0</v>
      </c>
      <c r="AL122" s="352">
        <v>0</v>
      </c>
      <c r="AX122" s="254">
        <v>2019</v>
      </c>
      <c r="AY122" s="254">
        <v>3050</v>
      </c>
      <c r="AZ122" s="255" t="s">
        <v>254</v>
      </c>
      <c r="BA122" s="254">
        <v>410</v>
      </c>
      <c r="BB122" s="254">
        <v>322</v>
      </c>
      <c r="BC122" s="255" t="s">
        <v>555</v>
      </c>
      <c r="BD122" s="255" t="s">
        <v>158</v>
      </c>
      <c r="BE122" s="350">
        <v>0</v>
      </c>
      <c r="BF122" s="350">
        <v>145000</v>
      </c>
      <c r="BG122" s="350">
        <v>3000</v>
      </c>
      <c r="BH122" s="350">
        <v>36000</v>
      </c>
      <c r="BI122" s="350">
        <v>184000</v>
      </c>
      <c r="BY122" s="582" t="s">
        <v>789</v>
      </c>
      <c r="BZ122" s="585" t="s">
        <v>790</v>
      </c>
      <c r="CA122" s="482"/>
      <c r="CB122" s="483"/>
      <c r="CC122" s="567">
        <v>2720</v>
      </c>
      <c r="CD122" s="567">
        <v>47840</v>
      </c>
      <c r="CE122" s="568">
        <v>2357990</v>
      </c>
      <c r="CF122" s="572">
        <v>823176</v>
      </c>
      <c r="CM122" s="299">
        <v>2019</v>
      </c>
      <c r="CN122" s="299">
        <v>1370</v>
      </c>
      <c r="CO122" s="300" t="s">
        <v>255</v>
      </c>
      <c r="CP122" s="299">
        <v>755</v>
      </c>
      <c r="CQ122" s="299">
        <v>89</v>
      </c>
      <c r="CR122" s="294" t="s">
        <v>377</v>
      </c>
      <c r="CS122" s="294" t="s">
        <v>378</v>
      </c>
      <c r="CT122" s="294" t="s">
        <v>379</v>
      </c>
      <c r="CU122" s="301">
        <v>9000</v>
      </c>
      <c r="DB122">
        <f t="shared" si="100"/>
        <v>20</v>
      </c>
      <c r="DC122" s="595" t="s">
        <v>961</v>
      </c>
      <c r="DD122" s="595" t="s">
        <v>962</v>
      </c>
      <c r="DE122" s="595" t="s">
        <v>690</v>
      </c>
      <c r="DF122" s="286">
        <v>86425</v>
      </c>
      <c r="DG122" s="286">
        <v>8465994.9999999981</v>
      </c>
      <c r="DH122" s="286">
        <v>330394605</v>
      </c>
      <c r="DI122" s="286">
        <v>200805479.99999997</v>
      </c>
      <c r="DJ122">
        <v>8</v>
      </c>
      <c r="DK122" s="643">
        <f t="shared" si="101"/>
        <v>1895.097258824158</v>
      </c>
      <c r="DL122" s="408">
        <f t="shared" si="102"/>
        <v>16043883917.719023</v>
      </c>
      <c r="DM122" s="286"/>
      <c r="DN122" s="286"/>
      <c r="EC122" s="289" t="s">
        <v>696</v>
      </c>
      <c r="ED122" s="296">
        <v>9526</v>
      </c>
      <c r="EE122" s="478">
        <v>1</v>
      </c>
      <c r="EF122" s="296">
        <v>9526</v>
      </c>
      <c r="EG122" s="477">
        <v>1.3469322412893829</v>
      </c>
      <c r="EH122" s="594">
        <v>3304.8765305226621</v>
      </c>
      <c r="EI122" s="286">
        <v>12830.876530522663</v>
      </c>
      <c r="EJ122" s="472">
        <f t="shared" si="106"/>
        <v>0.74242784406342976</v>
      </c>
      <c r="EK122" s="472">
        <f t="shared" si="104"/>
        <v>0.25757215593657024</v>
      </c>
      <c r="EL122" s="596">
        <f t="shared" si="105"/>
        <v>5.3088733360881209E-4</v>
      </c>
      <c r="EM122" s="453">
        <v>13</v>
      </c>
      <c r="EN122" s="453">
        <v>872</v>
      </c>
      <c r="EO122" s="453">
        <v>57.083333333333336</v>
      </c>
      <c r="EP122" s="453">
        <v>0</v>
      </c>
      <c r="EQ122" s="453">
        <v>338.75</v>
      </c>
      <c r="ER122" s="453">
        <v>33.75</v>
      </c>
      <c r="ES122" s="453">
        <v>0</v>
      </c>
      <c r="ET122" s="453">
        <v>482</v>
      </c>
      <c r="EU122" s="453">
        <v>85.3</v>
      </c>
      <c r="EV122" s="453">
        <v>77.116628175519637</v>
      </c>
      <c r="FH122">
        <v>32</v>
      </c>
      <c r="FI122" t="s">
        <v>859</v>
      </c>
      <c r="FJ122" t="s">
        <v>860</v>
      </c>
      <c r="FK122" t="s">
        <v>687</v>
      </c>
      <c r="FL122" s="286">
        <v>1200</v>
      </c>
      <c r="FM122" s="286">
        <v>106120</v>
      </c>
      <c r="FN122" s="286">
        <v>5447360</v>
      </c>
      <c r="FO122" s="286">
        <v>3267670</v>
      </c>
      <c r="FP122">
        <v>31</v>
      </c>
      <c r="FQ122" s="925">
        <v>254.37342899264078</v>
      </c>
      <c r="FR122" s="926">
        <v>26994108.284699041</v>
      </c>
      <c r="FS122">
        <v>0</v>
      </c>
    </row>
    <row r="123" spans="1:175" ht="16" customHeight="1">
      <c r="A123">
        <v>2017</v>
      </c>
      <c r="B123">
        <v>3410</v>
      </c>
      <c r="C123" t="s">
        <v>253</v>
      </c>
      <c r="D123" t="s">
        <v>245</v>
      </c>
      <c r="E123" s="203">
        <v>92</v>
      </c>
      <c r="F123" s="203" t="s">
        <v>246</v>
      </c>
      <c r="G123" s="203" t="s">
        <v>247</v>
      </c>
      <c r="H123" s="204" t="s">
        <v>249</v>
      </c>
      <c r="I123" s="202">
        <v>0</v>
      </c>
      <c r="J123" s="202">
        <v>0</v>
      </c>
      <c r="K123" s="202">
        <v>0</v>
      </c>
      <c r="L123" s="253"/>
      <c r="M123" s="254">
        <v>2019</v>
      </c>
      <c r="N123" s="254">
        <v>2670</v>
      </c>
      <c r="O123" s="255" t="s">
        <v>257</v>
      </c>
      <c r="P123" s="254">
        <v>410</v>
      </c>
      <c r="Q123" s="254">
        <v>233</v>
      </c>
      <c r="R123" s="255" t="s">
        <v>36</v>
      </c>
      <c r="S123" s="255" t="s">
        <v>152</v>
      </c>
      <c r="T123" s="350">
        <v>0</v>
      </c>
      <c r="U123" s="350">
        <v>0</v>
      </c>
      <c r="V123" s="350">
        <v>0</v>
      </c>
      <c r="W123" s="350">
        <v>0</v>
      </c>
      <c r="X123" s="350">
        <v>0</v>
      </c>
      <c r="AA123" s="272">
        <v>2019</v>
      </c>
      <c r="AB123" s="272">
        <v>3410</v>
      </c>
      <c r="AC123" s="273" t="s">
        <v>253</v>
      </c>
      <c r="AD123" s="272" t="s">
        <v>489</v>
      </c>
      <c r="AE123" s="272">
        <v>46</v>
      </c>
      <c r="AF123" s="274" t="s">
        <v>397</v>
      </c>
      <c r="AG123" s="272">
        <v>0</v>
      </c>
      <c r="AH123" s="272">
        <v>0</v>
      </c>
      <c r="AI123" s="272">
        <v>0</v>
      </c>
      <c r="AJ123" s="272">
        <v>0</v>
      </c>
      <c r="AK123" s="272">
        <v>0</v>
      </c>
      <c r="AL123" s="352">
        <v>0</v>
      </c>
      <c r="AX123" s="254">
        <v>2019</v>
      </c>
      <c r="AY123" s="254">
        <v>3050</v>
      </c>
      <c r="AZ123" s="255" t="s">
        <v>254</v>
      </c>
      <c r="BA123" s="254">
        <v>410</v>
      </c>
      <c r="BB123" s="254">
        <v>323</v>
      </c>
      <c r="BC123" s="255" t="s">
        <v>555</v>
      </c>
      <c r="BD123" s="255" t="s">
        <v>562</v>
      </c>
      <c r="BE123" s="350">
        <v>21805000</v>
      </c>
      <c r="BF123" s="350">
        <v>7740000</v>
      </c>
      <c r="BG123" s="350">
        <v>18956000</v>
      </c>
      <c r="BH123" s="350">
        <v>143665000</v>
      </c>
      <c r="BI123" s="350">
        <v>192166000</v>
      </c>
      <c r="BY123" s="1053" t="s">
        <v>791</v>
      </c>
      <c r="BZ123" s="1054"/>
      <c r="CA123" s="169"/>
      <c r="CB123" s="169"/>
      <c r="CC123" s="573">
        <v>15618578</v>
      </c>
      <c r="CD123" s="573">
        <v>202426016</v>
      </c>
      <c r="CE123" s="574">
        <v>15676090162</v>
      </c>
      <c r="CF123" s="575">
        <v>10936317052</v>
      </c>
      <c r="CM123" s="299">
        <v>2019</v>
      </c>
      <c r="CN123" s="299">
        <v>1370</v>
      </c>
      <c r="CO123" s="300" t="s">
        <v>255</v>
      </c>
      <c r="CP123" s="299">
        <v>755</v>
      </c>
      <c r="CQ123" s="299">
        <v>98</v>
      </c>
      <c r="CR123" s="294" t="s">
        <v>343</v>
      </c>
      <c r="CS123" s="294" t="s">
        <v>380</v>
      </c>
      <c r="CT123" s="294" t="s">
        <v>381</v>
      </c>
      <c r="CU123" s="301">
        <v>7763728000</v>
      </c>
      <c r="DB123">
        <f t="shared" si="100"/>
        <v>20</v>
      </c>
      <c r="DC123" s="595" t="s">
        <v>1113</v>
      </c>
      <c r="DD123" s="595" t="s">
        <v>1114</v>
      </c>
      <c r="DE123" s="595" t="s">
        <v>695</v>
      </c>
      <c r="DF123" s="286">
        <v>2840</v>
      </c>
      <c r="DG123" s="286">
        <v>267000</v>
      </c>
      <c r="DH123" s="286">
        <v>13839880</v>
      </c>
      <c r="DI123" s="286">
        <v>7813766</v>
      </c>
      <c r="DJ123">
        <v>7</v>
      </c>
      <c r="DK123" s="643">
        <f t="shared" si="101"/>
        <v>1047.1475692534934</v>
      </c>
      <c r="DL123" s="408">
        <f t="shared" si="102"/>
        <v>279588400.99068272</v>
      </c>
      <c r="DM123" s="286"/>
      <c r="DN123" s="286"/>
      <c r="EC123" s="289" t="s">
        <v>692</v>
      </c>
      <c r="ED123" s="296">
        <v>40996</v>
      </c>
      <c r="EE123" s="478">
        <v>1</v>
      </c>
      <c r="EF123" s="296">
        <v>40996</v>
      </c>
      <c r="EG123" s="477">
        <v>1.833645867382341</v>
      </c>
      <c r="EH123" s="594">
        <v>34176.145979206456</v>
      </c>
      <c r="EI123" s="286">
        <v>75172.145979206456</v>
      </c>
      <c r="EJ123" s="472">
        <f t="shared" si="106"/>
        <v>0.54536157596644907</v>
      </c>
      <c r="EK123" s="472">
        <f t="shared" si="104"/>
        <v>0.45463842403355093</v>
      </c>
      <c r="EL123" s="596">
        <f t="shared" si="105"/>
        <v>3.1103050555913708E-3</v>
      </c>
      <c r="EM123" s="453">
        <v>54.333333333333336</v>
      </c>
      <c r="EN123" s="453">
        <v>83.75</v>
      </c>
      <c r="EO123" s="453">
        <v>75.083333333333329</v>
      </c>
      <c r="EP123" s="453">
        <v>27.25</v>
      </c>
      <c r="EQ123" s="453">
        <v>65.5</v>
      </c>
      <c r="ER123" s="453">
        <v>46.05</v>
      </c>
      <c r="ES123" s="453">
        <v>40</v>
      </c>
      <c r="ET123" s="453">
        <v>115.75</v>
      </c>
      <c r="EU123" s="453">
        <v>89.25</v>
      </c>
      <c r="EV123" s="453">
        <v>67.856473802322171</v>
      </c>
      <c r="FH123">
        <v>32</v>
      </c>
      <c r="FI123" t="s">
        <v>861</v>
      </c>
      <c r="FJ123" t="s">
        <v>862</v>
      </c>
      <c r="FK123" t="s">
        <v>687</v>
      </c>
      <c r="FL123" s="286">
        <v>1240</v>
      </c>
      <c r="FM123" s="286">
        <v>114759.99999999999</v>
      </c>
      <c r="FN123" s="286">
        <v>6979520</v>
      </c>
      <c r="FO123" s="286">
        <v>3827575</v>
      </c>
      <c r="FP123">
        <v>31</v>
      </c>
      <c r="FQ123" s="925">
        <v>254.37342899264078</v>
      </c>
      <c r="FR123" s="926">
        <v>29191894.711195454</v>
      </c>
      <c r="FS123">
        <v>0</v>
      </c>
    </row>
    <row r="124" spans="1:175" ht="16" customHeight="1">
      <c r="A124">
        <v>2017</v>
      </c>
      <c r="B124">
        <v>3410</v>
      </c>
      <c r="C124" t="s">
        <v>253</v>
      </c>
      <c r="D124" t="s">
        <v>245</v>
      </c>
      <c r="E124" s="203">
        <v>93</v>
      </c>
      <c r="F124" s="203" t="s">
        <v>250</v>
      </c>
      <c r="G124" s="203" t="s">
        <v>247</v>
      </c>
      <c r="H124" s="203" t="s">
        <v>248</v>
      </c>
      <c r="I124" s="202">
        <v>1132</v>
      </c>
      <c r="J124" s="202">
        <v>46702</v>
      </c>
      <c r="K124" s="202">
        <v>93131000</v>
      </c>
      <c r="L124" s="253"/>
      <c r="M124" s="254">
        <v>2019</v>
      </c>
      <c r="N124" s="254">
        <v>2670</v>
      </c>
      <c r="O124" s="255" t="s">
        <v>257</v>
      </c>
      <c r="P124" s="254">
        <v>410</v>
      </c>
      <c r="Q124" s="254">
        <v>234</v>
      </c>
      <c r="R124" s="255" t="s">
        <v>36</v>
      </c>
      <c r="S124" s="255" t="s">
        <v>153</v>
      </c>
      <c r="T124" s="350">
        <v>0</v>
      </c>
      <c r="U124" s="350">
        <v>0</v>
      </c>
      <c r="V124" s="350">
        <v>0</v>
      </c>
      <c r="W124" s="350">
        <v>0</v>
      </c>
      <c r="X124" s="350">
        <v>0</v>
      </c>
      <c r="AA124" s="272">
        <v>2019</v>
      </c>
      <c r="AB124" s="272">
        <v>3410</v>
      </c>
      <c r="AC124" s="273" t="s">
        <v>253</v>
      </c>
      <c r="AD124" s="272" t="s">
        <v>489</v>
      </c>
      <c r="AE124" s="272">
        <v>47</v>
      </c>
      <c r="AF124" s="274" t="s">
        <v>398</v>
      </c>
      <c r="AG124" s="272">
        <v>3049</v>
      </c>
      <c r="AH124" s="272">
        <v>0</v>
      </c>
      <c r="AI124" s="272">
        <v>3038</v>
      </c>
      <c r="AJ124" s="272">
        <v>0</v>
      </c>
      <c r="AK124" s="272">
        <v>161014</v>
      </c>
      <c r="AL124" s="352">
        <v>53</v>
      </c>
      <c r="AX124" s="254">
        <v>2019</v>
      </c>
      <c r="AY124" s="254">
        <v>2670</v>
      </c>
      <c r="AZ124" s="255" t="s">
        <v>257</v>
      </c>
      <c r="BA124" s="254">
        <v>410</v>
      </c>
      <c r="BB124" s="254">
        <v>301</v>
      </c>
      <c r="BC124" s="255" t="s">
        <v>555</v>
      </c>
      <c r="BD124" s="255" t="s">
        <v>203</v>
      </c>
      <c r="BE124" s="350">
        <v>0</v>
      </c>
      <c r="BF124" s="350">
        <v>0</v>
      </c>
      <c r="BG124" s="350">
        <v>0</v>
      </c>
      <c r="BH124" s="350">
        <v>1394000</v>
      </c>
      <c r="BI124" s="350">
        <v>1394000</v>
      </c>
      <c r="CM124" s="299">
        <v>2019</v>
      </c>
      <c r="CN124" s="299">
        <v>1370</v>
      </c>
      <c r="CO124" s="300" t="s">
        <v>255</v>
      </c>
      <c r="CP124" s="299">
        <v>755</v>
      </c>
      <c r="CQ124" s="299">
        <v>99</v>
      </c>
      <c r="CR124" s="294" t="s">
        <v>343</v>
      </c>
      <c r="CS124" s="294" t="s">
        <v>344</v>
      </c>
      <c r="CT124" s="294" t="s">
        <v>322</v>
      </c>
      <c r="CU124" s="301">
        <v>23346365000</v>
      </c>
      <c r="DB124">
        <f t="shared" si="100"/>
        <v>20</v>
      </c>
      <c r="DC124" s="595" t="s">
        <v>963</v>
      </c>
      <c r="DD124" s="595" t="s">
        <v>964</v>
      </c>
      <c r="DE124" s="595" t="s">
        <v>690</v>
      </c>
      <c r="DF124" s="286">
        <v>2036</v>
      </c>
      <c r="DG124" s="286">
        <v>177852</v>
      </c>
      <c r="DH124" s="286">
        <v>7972842.0000000009</v>
      </c>
      <c r="DI124" s="286">
        <v>4563705</v>
      </c>
      <c r="DJ124">
        <v>7</v>
      </c>
      <c r="DK124" s="643">
        <f t="shared" si="101"/>
        <v>1047.1475692534934</v>
      </c>
      <c r="DL124" s="408">
        <f t="shared" si="102"/>
        <v>186237289.48687232</v>
      </c>
      <c r="DM124" s="286"/>
      <c r="DN124" s="286"/>
      <c r="EC124" s="289" t="s">
        <v>695</v>
      </c>
      <c r="ED124" s="296">
        <v>3479914</v>
      </c>
      <c r="EE124" s="478">
        <v>1</v>
      </c>
      <c r="EF124" s="296">
        <v>3479914</v>
      </c>
      <c r="EG124" s="477">
        <v>2.03277833409512</v>
      </c>
      <c r="EH124" s="594">
        <v>3593979.7837142856</v>
      </c>
      <c r="EI124" s="286">
        <v>7073893.7837142851</v>
      </c>
      <c r="EJ124" s="472">
        <f t="shared" si="106"/>
        <v>0.49193755326261113</v>
      </c>
      <c r="EK124" s="472">
        <f t="shared" si="104"/>
        <v>0.50806244673738887</v>
      </c>
      <c r="EL124" s="596">
        <f t="shared" si="105"/>
        <v>0.2926877676777902</v>
      </c>
      <c r="EM124" s="453">
        <v>32.833333333333336</v>
      </c>
      <c r="EN124" s="453">
        <v>81.833333333333329</v>
      </c>
      <c r="EO124" s="453">
        <v>59.333333333333336</v>
      </c>
      <c r="EP124" s="453">
        <v>15.6</v>
      </c>
      <c r="EQ124" s="453">
        <v>93.5</v>
      </c>
      <c r="ER124" s="453">
        <v>37.9</v>
      </c>
      <c r="ES124" s="453">
        <v>40</v>
      </c>
      <c r="ET124" s="453">
        <v>149.05000000000001</v>
      </c>
      <c r="EU124" s="453">
        <v>98.35</v>
      </c>
      <c r="EV124" s="453">
        <v>86.617876763621169</v>
      </c>
      <c r="FH124">
        <v>32</v>
      </c>
      <c r="FI124" t="s">
        <v>863</v>
      </c>
      <c r="FJ124" t="s">
        <v>864</v>
      </c>
      <c r="FK124" t="s">
        <v>687</v>
      </c>
      <c r="FL124" s="286">
        <v>1000</v>
      </c>
      <c r="FM124" s="286">
        <v>40160</v>
      </c>
      <c r="FN124" s="286">
        <v>5052440</v>
      </c>
      <c r="FO124" s="286">
        <v>1987643</v>
      </c>
      <c r="FP124">
        <v>31</v>
      </c>
      <c r="FQ124" s="925">
        <v>254.37342899264078</v>
      </c>
      <c r="FR124" s="926">
        <v>10215636.908344453</v>
      </c>
      <c r="FS124">
        <v>0</v>
      </c>
    </row>
    <row r="125" spans="1:175" ht="16" customHeight="1">
      <c r="A125">
        <v>2017</v>
      </c>
      <c r="B125">
        <v>3410</v>
      </c>
      <c r="C125" t="s">
        <v>253</v>
      </c>
      <c r="D125" t="s">
        <v>245</v>
      </c>
      <c r="E125" s="203">
        <v>94</v>
      </c>
      <c r="F125" s="203" t="s">
        <v>250</v>
      </c>
      <c r="G125" s="203" t="s">
        <v>247</v>
      </c>
      <c r="H125" s="204" t="s">
        <v>249</v>
      </c>
      <c r="I125" s="202">
        <v>0</v>
      </c>
      <c r="J125" s="202">
        <v>0</v>
      </c>
      <c r="K125" s="202">
        <v>0</v>
      </c>
      <c r="L125" s="253"/>
      <c r="M125" s="254">
        <v>2019</v>
      </c>
      <c r="N125" s="254">
        <v>2670</v>
      </c>
      <c r="O125" s="255" t="s">
        <v>257</v>
      </c>
      <c r="P125" s="254">
        <v>410</v>
      </c>
      <c r="Q125" s="254">
        <v>235</v>
      </c>
      <c r="R125" s="255" t="s">
        <v>36</v>
      </c>
      <c r="S125" s="255" t="s">
        <v>202</v>
      </c>
      <c r="T125" s="350">
        <v>0</v>
      </c>
      <c r="U125" s="350">
        <v>0</v>
      </c>
      <c r="V125" s="350">
        <v>-86955000</v>
      </c>
      <c r="W125" s="350">
        <v>0</v>
      </c>
      <c r="X125" s="350">
        <v>-86955000</v>
      </c>
      <c r="AA125" s="272">
        <v>2019</v>
      </c>
      <c r="AB125" s="272">
        <v>3410</v>
      </c>
      <c r="AC125" s="273" t="s">
        <v>253</v>
      </c>
      <c r="AD125" s="272" t="s">
        <v>489</v>
      </c>
      <c r="AE125" s="272">
        <v>48</v>
      </c>
      <c r="AF125" s="274" t="s">
        <v>399</v>
      </c>
      <c r="AG125" s="272">
        <v>0</v>
      </c>
      <c r="AH125" s="272">
        <v>0</v>
      </c>
      <c r="AI125" s="272">
        <v>0</v>
      </c>
      <c r="AJ125" s="272">
        <v>0</v>
      </c>
      <c r="AK125" s="272">
        <v>0</v>
      </c>
      <c r="AL125" s="352">
        <v>0</v>
      </c>
      <c r="AX125" s="254">
        <v>2019</v>
      </c>
      <c r="AY125" s="254">
        <v>2670</v>
      </c>
      <c r="AZ125" s="255" t="s">
        <v>257</v>
      </c>
      <c r="BA125" s="254">
        <v>410</v>
      </c>
      <c r="BB125" s="254">
        <v>302</v>
      </c>
      <c r="BC125" s="255" t="s">
        <v>555</v>
      </c>
      <c r="BD125" s="255" t="s">
        <v>556</v>
      </c>
      <c r="BE125" s="350">
        <v>0</v>
      </c>
      <c r="BF125" s="350">
        <v>0</v>
      </c>
      <c r="BG125" s="350">
        <v>0</v>
      </c>
      <c r="BH125" s="350">
        <v>0</v>
      </c>
      <c r="BI125" s="350">
        <v>0</v>
      </c>
      <c r="CM125" s="299">
        <v>2019</v>
      </c>
      <c r="CN125" s="299">
        <v>1370</v>
      </c>
      <c r="CO125" s="300" t="s">
        <v>255</v>
      </c>
      <c r="CP125" s="299">
        <v>755</v>
      </c>
      <c r="CQ125" s="299">
        <v>100</v>
      </c>
      <c r="CR125" s="294" t="s">
        <v>343</v>
      </c>
      <c r="CS125" s="294" t="s">
        <v>344</v>
      </c>
      <c r="CT125" s="294" t="s">
        <v>323</v>
      </c>
      <c r="CU125" s="301">
        <v>11491296000</v>
      </c>
      <c r="DB125">
        <f t="shared" si="100"/>
        <v>20</v>
      </c>
      <c r="DC125" s="595" t="s">
        <v>1115</v>
      </c>
      <c r="DD125" s="595" t="s">
        <v>1116</v>
      </c>
      <c r="DE125" s="595" t="s">
        <v>695</v>
      </c>
      <c r="DF125" s="286">
        <v>68320</v>
      </c>
      <c r="DG125" s="286">
        <v>6599312</v>
      </c>
      <c r="DH125" s="286">
        <v>239570261</v>
      </c>
      <c r="DI125" s="286">
        <v>156626549</v>
      </c>
      <c r="DJ125">
        <v>7</v>
      </c>
      <c r="DK125" s="643">
        <f t="shared" si="101"/>
        <v>1047.1475692534934</v>
      </c>
      <c r="DL125" s="408">
        <f t="shared" si="102"/>
        <v>6910453519.5454102</v>
      </c>
      <c r="DM125" s="286"/>
      <c r="DN125" s="286"/>
      <c r="EC125" s="289" t="s">
        <v>693</v>
      </c>
      <c r="ED125" s="296">
        <v>1691760</v>
      </c>
      <c r="EE125" s="478">
        <v>1</v>
      </c>
      <c r="EF125" s="296">
        <v>1691760</v>
      </c>
      <c r="EG125" s="477">
        <v>1.4461718276582958</v>
      </c>
      <c r="EH125" s="594">
        <v>754815.65115919849</v>
      </c>
      <c r="EI125" s="286">
        <v>2446575.6511591985</v>
      </c>
      <c r="EJ125" s="472">
        <f t="shared" si="106"/>
        <v>0.69148076381714851</v>
      </c>
      <c r="EK125" s="472">
        <f t="shared" si="104"/>
        <v>0.30851923618285149</v>
      </c>
      <c r="EL125" s="596">
        <f t="shared" si="105"/>
        <v>0.10122893949032814</v>
      </c>
      <c r="EM125" s="453">
        <v>86.166666666666671</v>
      </c>
      <c r="EN125" s="453">
        <v>149.83333333333334</v>
      </c>
      <c r="EO125" s="453">
        <v>93.833333333333329</v>
      </c>
      <c r="EP125" s="453">
        <v>35</v>
      </c>
      <c r="EQ125" s="453">
        <v>81</v>
      </c>
      <c r="ER125" s="453">
        <v>52.5</v>
      </c>
      <c r="ES125" s="453">
        <v>25.25</v>
      </c>
      <c r="ET125" s="453">
        <v>75</v>
      </c>
      <c r="EU125" s="453">
        <v>37.6</v>
      </c>
      <c r="EV125" s="453">
        <v>21.293493166879461</v>
      </c>
      <c r="FH125">
        <v>32</v>
      </c>
      <c r="FI125" t="s">
        <v>865</v>
      </c>
      <c r="FJ125" t="s">
        <v>866</v>
      </c>
      <c r="FK125" t="s">
        <v>687</v>
      </c>
      <c r="FL125" s="286">
        <v>1040</v>
      </c>
      <c r="FM125" s="286">
        <v>96960</v>
      </c>
      <c r="FN125" s="286">
        <v>4514476</v>
      </c>
      <c r="FO125" s="286">
        <v>2929204</v>
      </c>
      <c r="FP125">
        <v>31</v>
      </c>
      <c r="FQ125" s="925">
        <v>254.37342899264078</v>
      </c>
      <c r="FR125" s="926">
        <v>24664047.675126452</v>
      </c>
      <c r="FS125">
        <v>0</v>
      </c>
    </row>
    <row r="126" spans="1:175" ht="16" customHeight="1">
      <c r="A126">
        <v>2017</v>
      </c>
      <c r="B126">
        <v>3410</v>
      </c>
      <c r="C126" t="s">
        <v>253</v>
      </c>
      <c r="D126" t="s">
        <v>245</v>
      </c>
      <c r="E126" s="203">
        <v>97</v>
      </c>
      <c r="F126" s="203" t="s">
        <v>251</v>
      </c>
      <c r="G126" s="203" t="s">
        <v>247</v>
      </c>
      <c r="H126" s="203" t="s">
        <v>248</v>
      </c>
      <c r="I126" s="202">
        <v>0</v>
      </c>
      <c r="J126" s="202">
        <v>0</v>
      </c>
      <c r="K126" s="202">
        <v>0</v>
      </c>
      <c r="L126" s="253"/>
      <c r="M126" s="254">
        <v>2019</v>
      </c>
      <c r="N126" s="254">
        <v>2670</v>
      </c>
      <c r="O126" s="255" t="s">
        <v>257</v>
      </c>
      <c r="P126" s="254">
        <v>410</v>
      </c>
      <c r="Q126" s="254">
        <v>236</v>
      </c>
      <c r="R126" s="255" t="s">
        <v>36</v>
      </c>
      <c r="S126" s="255" t="s">
        <v>156</v>
      </c>
      <c r="T126" s="350">
        <v>0</v>
      </c>
      <c r="U126" s="350">
        <v>0</v>
      </c>
      <c r="V126" s="350">
        <v>0</v>
      </c>
      <c r="W126" s="350">
        <v>0</v>
      </c>
      <c r="X126" s="350">
        <v>0</v>
      </c>
      <c r="AA126" s="272">
        <v>2019</v>
      </c>
      <c r="AB126" s="272">
        <v>3410</v>
      </c>
      <c r="AC126" s="273" t="s">
        <v>253</v>
      </c>
      <c r="AD126" s="272" t="s">
        <v>489</v>
      </c>
      <c r="AE126" s="272">
        <v>49</v>
      </c>
      <c r="AF126" s="274" t="s">
        <v>490</v>
      </c>
      <c r="AG126" s="272">
        <v>322</v>
      </c>
      <c r="AH126" s="272">
        <v>0</v>
      </c>
      <c r="AI126" s="272">
        <v>309</v>
      </c>
      <c r="AJ126" s="272">
        <v>0</v>
      </c>
      <c r="AK126" s="272">
        <v>28428</v>
      </c>
      <c r="AL126" s="352">
        <v>92</v>
      </c>
      <c r="AX126" s="254">
        <v>2019</v>
      </c>
      <c r="AY126" s="254">
        <v>2670</v>
      </c>
      <c r="AZ126" s="255" t="s">
        <v>257</v>
      </c>
      <c r="BA126" s="254">
        <v>410</v>
      </c>
      <c r="BB126" s="254">
        <v>303</v>
      </c>
      <c r="BC126" s="255" t="s">
        <v>555</v>
      </c>
      <c r="BD126" s="255" t="s">
        <v>557</v>
      </c>
      <c r="BE126" s="350">
        <v>0</v>
      </c>
      <c r="BF126" s="350">
        <v>0</v>
      </c>
      <c r="BG126" s="350">
        <v>0</v>
      </c>
      <c r="BH126" s="350">
        <v>0</v>
      </c>
      <c r="BI126" s="350">
        <v>0</v>
      </c>
      <c r="CM126" s="299">
        <v>2019</v>
      </c>
      <c r="CN126" s="299">
        <v>1370</v>
      </c>
      <c r="CO126" s="300" t="s">
        <v>255</v>
      </c>
      <c r="CP126" s="299">
        <v>755</v>
      </c>
      <c r="CQ126" s="299">
        <v>101</v>
      </c>
      <c r="CR126" s="294" t="s">
        <v>343</v>
      </c>
      <c r="CS126" s="294" t="s">
        <v>344</v>
      </c>
      <c r="CT126" s="294" t="s">
        <v>325</v>
      </c>
      <c r="CU126" s="301">
        <v>91333830000</v>
      </c>
      <c r="DB126">
        <f t="shared" si="100"/>
        <v>20</v>
      </c>
      <c r="DC126" s="595" t="s">
        <v>965</v>
      </c>
      <c r="DD126" s="595" t="s">
        <v>966</v>
      </c>
      <c r="DE126" s="595" t="s">
        <v>690</v>
      </c>
      <c r="DF126" s="286">
        <v>200389</v>
      </c>
      <c r="DG126" s="286">
        <v>20645292.999999996</v>
      </c>
      <c r="DH126" s="286">
        <v>770537910</v>
      </c>
      <c r="DI126" s="286">
        <v>483529373</v>
      </c>
      <c r="DJ126">
        <v>7</v>
      </c>
      <c r="DK126" s="643">
        <f t="shared" si="101"/>
        <v>1047.1475692534934</v>
      </c>
      <c r="DL126" s="408">
        <f t="shared" si="102"/>
        <v>21618668381.476158</v>
      </c>
      <c r="DM126" s="286"/>
      <c r="DN126" s="286"/>
      <c r="ED126" s="286">
        <f>SUM(ED114:ED125)</f>
        <v>12571348</v>
      </c>
      <c r="EF126" s="286">
        <f>SUM(EF114:EF125)</f>
        <v>12571348</v>
      </c>
      <c r="EH126" s="286">
        <f>SUM(EH114:EH125)</f>
        <v>11597389.353935778</v>
      </c>
      <c r="EI126" s="286">
        <f>SUM(EI114:EI125)</f>
        <v>24168737.353935778</v>
      </c>
      <c r="EL126" s="596">
        <f>SUM(EL114:EL125)</f>
        <v>0.99999999999999989</v>
      </c>
      <c r="FH126">
        <v>33</v>
      </c>
      <c r="FI126" t="s">
        <v>869</v>
      </c>
      <c r="FJ126" t="s">
        <v>870</v>
      </c>
      <c r="FK126" t="s">
        <v>687</v>
      </c>
      <c r="FL126" s="286">
        <v>1088</v>
      </c>
      <c r="FM126" s="286">
        <v>94400</v>
      </c>
      <c r="FN126" s="286">
        <v>8639772</v>
      </c>
      <c r="FO126" s="286">
        <v>4033312</v>
      </c>
      <c r="FP126">
        <v>32</v>
      </c>
      <c r="FQ126" s="925">
        <v>1383.6810951873679</v>
      </c>
      <c r="FR126" s="926">
        <v>130619495.38568753</v>
      </c>
      <c r="FS126">
        <v>0</v>
      </c>
    </row>
    <row r="127" spans="1:175" ht="16" customHeight="1">
      <c r="A127">
        <v>2017</v>
      </c>
      <c r="B127">
        <v>3410</v>
      </c>
      <c r="C127" t="s">
        <v>253</v>
      </c>
      <c r="D127" t="s">
        <v>245</v>
      </c>
      <c r="E127" s="203">
        <v>98</v>
      </c>
      <c r="F127" s="203" t="s">
        <v>251</v>
      </c>
      <c r="G127" s="203" t="s">
        <v>247</v>
      </c>
      <c r="H127" s="204" t="s">
        <v>249</v>
      </c>
      <c r="I127" s="202">
        <v>0</v>
      </c>
      <c r="J127" s="202">
        <v>0</v>
      </c>
      <c r="K127" s="202">
        <v>0</v>
      </c>
      <c r="L127" s="253"/>
      <c r="M127" s="254">
        <v>2019</v>
      </c>
      <c r="N127" s="254">
        <v>2670</v>
      </c>
      <c r="O127" s="255" t="s">
        <v>257</v>
      </c>
      <c r="P127" s="254">
        <v>410</v>
      </c>
      <c r="Q127" s="254">
        <v>237</v>
      </c>
      <c r="R127" s="255" t="s">
        <v>36</v>
      </c>
      <c r="S127" s="255" t="s">
        <v>158</v>
      </c>
      <c r="T127" s="350">
        <v>0</v>
      </c>
      <c r="U127" s="350">
        <v>0</v>
      </c>
      <c r="V127" s="350">
        <v>0</v>
      </c>
      <c r="W127" s="350">
        <v>0</v>
      </c>
      <c r="X127" s="350">
        <v>0</v>
      </c>
      <c r="AA127" s="272">
        <v>2019</v>
      </c>
      <c r="AB127" s="272">
        <v>3410</v>
      </c>
      <c r="AC127" s="273" t="s">
        <v>253</v>
      </c>
      <c r="AD127" s="272" t="s">
        <v>489</v>
      </c>
      <c r="AE127" s="272">
        <v>50</v>
      </c>
      <c r="AF127" s="274" t="s">
        <v>408</v>
      </c>
      <c r="AG127" s="272">
        <v>0</v>
      </c>
      <c r="AH127" s="272">
        <v>0</v>
      </c>
      <c r="AI127" s="272">
        <v>0</v>
      </c>
      <c r="AJ127" s="272">
        <v>0</v>
      </c>
      <c r="AK127" s="272">
        <v>0</v>
      </c>
      <c r="AL127" s="352">
        <v>0</v>
      </c>
      <c r="AX127" s="254">
        <v>2019</v>
      </c>
      <c r="AY127" s="254">
        <v>2670</v>
      </c>
      <c r="AZ127" s="255" t="s">
        <v>257</v>
      </c>
      <c r="BA127" s="254">
        <v>410</v>
      </c>
      <c r="BB127" s="254">
        <v>304</v>
      </c>
      <c r="BC127" s="255" t="s">
        <v>555</v>
      </c>
      <c r="BD127" s="255" t="s">
        <v>558</v>
      </c>
      <c r="BE127" s="350">
        <v>0</v>
      </c>
      <c r="BF127" s="350">
        <v>0</v>
      </c>
      <c r="BG127" s="350">
        <v>0</v>
      </c>
      <c r="BH127" s="350">
        <v>0</v>
      </c>
      <c r="BI127" s="350">
        <v>0</v>
      </c>
      <c r="BY127" s="2" t="s">
        <v>1574</v>
      </c>
      <c r="CM127" s="299">
        <v>2019</v>
      </c>
      <c r="CN127" s="299">
        <v>1370</v>
      </c>
      <c r="CO127" s="300" t="s">
        <v>255</v>
      </c>
      <c r="CP127" s="299">
        <v>755</v>
      </c>
      <c r="CQ127" s="299">
        <v>102</v>
      </c>
      <c r="CR127" s="294" t="s">
        <v>343</v>
      </c>
      <c r="CS127" s="294" t="s">
        <v>345</v>
      </c>
      <c r="CT127" s="294" t="s">
        <v>346</v>
      </c>
      <c r="CU127" s="301">
        <v>0</v>
      </c>
      <c r="DB127">
        <f t="shared" si="100"/>
        <v>20</v>
      </c>
      <c r="DC127" s="595" t="s">
        <v>965</v>
      </c>
      <c r="DD127" s="595" t="s">
        <v>966</v>
      </c>
      <c r="DE127" s="595" t="s">
        <v>695</v>
      </c>
      <c r="DF127" s="286">
        <v>3396</v>
      </c>
      <c r="DG127" s="286">
        <v>284312</v>
      </c>
      <c r="DH127" s="286">
        <v>8878299</v>
      </c>
      <c r="DI127" s="286">
        <v>6238142</v>
      </c>
      <c r="DJ127">
        <v>7</v>
      </c>
      <c r="DK127" s="643">
        <f t="shared" si="101"/>
        <v>1047.1475692534934</v>
      </c>
      <c r="DL127" s="408">
        <f t="shared" si="102"/>
        <v>297716619.7095992</v>
      </c>
      <c r="DM127" s="286"/>
      <c r="DN127" s="286"/>
      <c r="FH127">
        <v>33</v>
      </c>
      <c r="FI127" t="s">
        <v>871</v>
      </c>
      <c r="FJ127" t="s">
        <v>872</v>
      </c>
      <c r="FK127" t="s">
        <v>687</v>
      </c>
      <c r="FL127" s="286">
        <v>1400</v>
      </c>
      <c r="FM127" s="286">
        <v>122880</v>
      </c>
      <c r="FN127" s="286">
        <v>7411013</v>
      </c>
      <c r="FO127" s="286">
        <v>2862591</v>
      </c>
      <c r="FP127">
        <v>32</v>
      </c>
      <c r="FQ127" s="925">
        <v>1383.6810951873679</v>
      </c>
      <c r="FR127" s="926">
        <v>170026732.97662377</v>
      </c>
      <c r="FS127">
        <v>0</v>
      </c>
    </row>
    <row r="128" spans="1:175" ht="16" customHeight="1">
      <c r="A128">
        <v>2017</v>
      </c>
      <c r="B128">
        <v>3050</v>
      </c>
      <c r="C128" t="s">
        <v>254</v>
      </c>
      <c r="D128" t="s">
        <v>245</v>
      </c>
      <c r="E128" s="203">
        <v>91</v>
      </c>
      <c r="F128" s="203" t="s">
        <v>246</v>
      </c>
      <c r="G128" s="203" t="s">
        <v>247</v>
      </c>
      <c r="H128" s="203" t="s">
        <v>248</v>
      </c>
      <c r="I128" s="202">
        <v>73</v>
      </c>
      <c r="J128" s="202">
        <v>15604</v>
      </c>
      <c r="K128" s="202">
        <v>132791000</v>
      </c>
      <c r="L128" s="253"/>
      <c r="M128" s="254">
        <v>2019</v>
      </c>
      <c r="N128" s="254">
        <v>1550</v>
      </c>
      <c r="O128" s="255" t="s">
        <v>258</v>
      </c>
      <c r="P128" s="254">
        <v>410</v>
      </c>
      <c r="Q128" s="254">
        <v>220</v>
      </c>
      <c r="R128" s="255" t="s">
        <v>36</v>
      </c>
      <c r="S128" s="255" t="s">
        <v>203</v>
      </c>
      <c r="T128" s="350">
        <v>3436000</v>
      </c>
      <c r="U128" s="350">
        <v>748000</v>
      </c>
      <c r="V128" s="350">
        <v>2715000</v>
      </c>
      <c r="W128" s="350">
        <v>1083000</v>
      </c>
      <c r="X128" s="350">
        <v>7982000</v>
      </c>
      <c r="AA128" s="272">
        <v>2019</v>
      </c>
      <c r="AB128" s="272">
        <v>3410</v>
      </c>
      <c r="AC128" s="273" t="s">
        <v>253</v>
      </c>
      <c r="AD128" s="272" t="s">
        <v>489</v>
      </c>
      <c r="AE128" s="272">
        <v>51</v>
      </c>
      <c r="AF128" s="274" t="s">
        <v>409</v>
      </c>
      <c r="AG128" s="272">
        <v>17</v>
      </c>
      <c r="AH128" s="272">
        <v>0</v>
      </c>
      <c r="AI128" s="272">
        <v>13</v>
      </c>
      <c r="AJ128" s="272">
        <v>0</v>
      </c>
      <c r="AK128" s="272">
        <v>1053</v>
      </c>
      <c r="AL128" s="352">
        <v>81</v>
      </c>
      <c r="AX128" s="254">
        <v>2019</v>
      </c>
      <c r="AY128" s="254">
        <v>2670</v>
      </c>
      <c r="AZ128" s="255" t="s">
        <v>257</v>
      </c>
      <c r="BA128" s="254">
        <v>410</v>
      </c>
      <c r="BB128" s="254">
        <v>305</v>
      </c>
      <c r="BC128" s="255" t="s">
        <v>555</v>
      </c>
      <c r="BD128" s="255" t="s">
        <v>559</v>
      </c>
      <c r="BE128" s="350">
        <v>0</v>
      </c>
      <c r="BF128" s="350">
        <v>0</v>
      </c>
      <c r="BG128" s="350">
        <v>0</v>
      </c>
      <c r="BH128" s="350">
        <v>0</v>
      </c>
      <c r="BI128" s="350">
        <v>0</v>
      </c>
      <c r="CM128" s="299">
        <v>2019</v>
      </c>
      <c r="CN128" s="299">
        <v>1370</v>
      </c>
      <c r="CO128" s="300" t="s">
        <v>255</v>
      </c>
      <c r="CP128" s="299">
        <v>755</v>
      </c>
      <c r="CQ128" s="299">
        <v>103</v>
      </c>
      <c r="CR128" s="294" t="s">
        <v>343</v>
      </c>
      <c r="CS128" s="294" t="s">
        <v>347</v>
      </c>
      <c r="CT128" s="294" t="s">
        <v>348</v>
      </c>
      <c r="CU128" s="301">
        <v>1209914000</v>
      </c>
      <c r="DB128">
        <f t="shared" si="100"/>
        <v>20</v>
      </c>
      <c r="DC128" s="595" t="s">
        <v>1117</v>
      </c>
      <c r="DD128" s="595" t="s">
        <v>1118</v>
      </c>
      <c r="DE128" s="595" t="s">
        <v>695</v>
      </c>
      <c r="DF128" s="286">
        <v>64984</v>
      </c>
      <c r="DG128" s="286">
        <v>6125636</v>
      </c>
      <c r="DH128" s="286">
        <v>220727006.99999997</v>
      </c>
      <c r="DI128" s="286">
        <v>146545639.99999997</v>
      </c>
      <c r="DJ128">
        <v>7</v>
      </c>
      <c r="DK128" s="643">
        <f t="shared" si="101"/>
        <v>1047.1475692534934</v>
      </c>
      <c r="DL128" s="408">
        <f t="shared" si="102"/>
        <v>6414444847.5316925</v>
      </c>
      <c r="DM128" s="286"/>
      <c r="DN128" s="286"/>
      <c r="EC128" s="598" t="s">
        <v>1797</v>
      </c>
      <c r="FH128">
        <v>33</v>
      </c>
      <c r="FI128" t="s">
        <v>873</v>
      </c>
      <c r="FJ128" t="s">
        <v>874</v>
      </c>
      <c r="FK128" t="s">
        <v>687</v>
      </c>
      <c r="FL128" s="286">
        <v>5732</v>
      </c>
      <c r="FM128" s="286">
        <v>535256.00000000012</v>
      </c>
      <c r="FN128" s="286">
        <v>29387510.000000004</v>
      </c>
      <c r="FO128" s="286">
        <v>18495063.000000004</v>
      </c>
      <c r="FP128">
        <v>32</v>
      </c>
      <c r="FQ128" s="925">
        <v>1383.6810951873679</v>
      </c>
      <c r="FR128" s="926">
        <v>740623608.28560996</v>
      </c>
      <c r="FS128">
        <v>0</v>
      </c>
    </row>
    <row r="129" spans="1:178" ht="16" customHeight="1">
      <c r="A129">
        <v>2017</v>
      </c>
      <c r="B129">
        <v>3050</v>
      </c>
      <c r="C129" t="s">
        <v>254</v>
      </c>
      <c r="D129" t="s">
        <v>245</v>
      </c>
      <c r="E129" s="203">
        <v>92</v>
      </c>
      <c r="F129" s="203" t="s">
        <v>246</v>
      </c>
      <c r="G129" s="203" t="s">
        <v>247</v>
      </c>
      <c r="H129" s="204" t="s">
        <v>249</v>
      </c>
      <c r="I129" s="202">
        <v>0</v>
      </c>
      <c r="J129" s="202">
        <v>0</v>
      </c>
      <c r="K129" s="202">
        <v>0</v>
      </c>
      <c r="L129" s="253"/>
      <c r="M129" s="254">
        <v>2019</v>
      </c>
      <c r="N129" s="254">
        <v>1550</v>
      </c>
      <c r="O129" s="255" t="s">
        <v>258</v>
      </c>
      <c r="P129" s="254">
        <v>410</v>
      </c>
      <c r="Q129" s="254">
        <v>221</v>
      </c>
      <c r="R129" s="255" t="s">
        <v>36</v>
      </c>
      <c r="S129" s="255" t="s">
        <v>197</v>
      </c>
      <c r="T129" s="350">
        <v>32686000</v>
      </c>
      <c r="U129" s="350">
        <v>46157000</v>
      </c>
      <c r="V129" s="350">
        <v>77385000</v>
      </c>
      <c r="W129" s="350">
        <v>51000</v>
      </c>
      <c r="X129" s="350">
        <v>156279000</v>
      </c>
      <c r="AA129" s="272">
        <v>2019</v>
      </c>
      <c r="AB129" s="272">
        <v>3410</v>
      </c>
      <c r="AC129" s="273" t="s">
        <v>253</v>
      </c>
      <c r="AD129" s="272" t="s">
        <v>489</v>
      </c>
      <c r="AE129" s="272">
        <v>52</v>
      </c>
      <c r="AF129" s="274" t="s">
        <v>491</v>
      </c>
      <c r="AG129" s="272">
        <v>0</v>
      </c>
      <c r="AH129" s="272">
        <v>0</v>
      </c>
      <c r="AI129" s="272">
        <v>0</v>
      </c>
      <c r="AJ129" s="272">
        <v>0</v>
      </c>
      <c r="AK129" s="272">
        <v>0</v>
      </c>
      <c r="AL129" s="352">
        <v>0</v>
      </c>
      <c r="AX129" s="254">
        <v>2019</v>
      </c>
      <c r="AY129" s="254">
        <v>2670</v>
      </c>
      <c r="AZ129" s="255" t="s">
        <v>257</v>
      </c>
      <c r="BA129" s="254">
        <v>410</v>
      </c>
      <c r="BB129" s="254">
        <v>306</v>
      </c>
      <c r="BC129" s="255" t="s">
        <v>555</v>
      </c>
      <c r="BD129" s="255" t="s">
        <v>560</v>
      </c>
      <c r="BE129" s="350">
        <v>7000</v>
      </c>
      <c r="BF129" s="350">
        <v>559000</v>
      </c>
      <c r="BG129" s="350">
        <v>18000</v>
      </c>
      <c r="BH129" s="350">
        <v>0</v>
      </c>
      <c r="BI129" s="350">
        <v>584000</v>
      </c>
      <c r="BY129" t="s">
        <v>804</v>
      </c>
      <c r="BZ129" t="s">
        <v>805</v>
      </c>
      <c r="CA129" t="s">
        <v>1629</v>
      </c>
      <c r="CB129" t="s">
        <v>1629</v>
      </c>
      <c r="CC129" t="s">
        <v>800</v>
      </c>
      <c r="CD129" t="s">
        <v>234</v>
      </c>
      <c r="CE129" t="s">
        <v>794</v>
      </c>
      <c r="CF129" t="s">
        <v>353</v>
      </c>
      <c r="CG129" t="s">
        <v>803</v>
      </c>
      <c r="CH129" t="s">
        <v>1627</v>
      </c>
      <c r="CI129" t="s">
        <v>1628</v>
      </c>
      <c r="CJ129" t="s">
        <v>1680</v>
      </c>
      <c r="CM129" s="299">
        <v>2019</v>
      </c>
      <c r="CN129" s="299">
        <v>1370</v>
      </c>
      <c r="CO129" s="300" t="s">
        <v>255</v>
      </c>
      <c r="CP129" s="299">
        <v>755</v>
      </c>
      <c r="CQ129" s="299">
        <v>104</v>
      </c>
      <c r="CR129" s="294" t="s">
        <v>343</v>
      </c>
      <c r="CS129" s="294" t="s">
        <v>349</v>
      </c>
      <c r="CT129" s="294" t="s">
        <v>350</v>
      </c>
      <c r="CU129" s="301">
        <v>135145133000</v>
      </c>
      <c r="DB129">
        <f t="shared" si="100"/>
        <v>20</v>
      </c>
      <c r="DC129" s="595" t="s">
        <v>967</v>
      </c>
      <c r="DD129" s="595" t="s">
        <v>968</v>
      </c>
      <c r="DE129" s="595" t="s">
        <v>690</v>
      </c>
      <c r="DF129" s="286">
        <v>51255</v>
      </c>
      <c r="DG129" s="286">
        <v>5345098</v>
      </c>
      <c r="DH129" s="286">
        <v>207268947.99999997</v>
      </c>
      <c r="DI129" s="286">
        <v>117613500.99999999</v>
      </c>
      <c r="DJ129">
        <v>7</v>
      </c>
      <c r="DK129" s="643">
        <f t="shared" si="101"/>
        <v>1047.1475692534934</v>
      </c>
      <c r="DL129" s="408">
        <f t="shared" si="102"/>
        <v>5597106378.1217089</v>
      </c>
      <c r="DM129" s="286"/>
      <c r="DN129" s="286"/>
      <c r="EC129" s="289" t="s">
        <v>690</v>
      </c>
      <c r="ED129" s="296">
        <v>4481530</v>
      </c>
      <c r="EE129" s="478">
        <v>1</v>
      </c>
      <c r="EF129" s="296">
        <v>4481530</v>
      </c>
      <c r="EG129" s="477">
        <v>2.0135584440475895</v>
      </c>
      <c r="EH129" s="594">
        <v>4542292.5737525942</v>
      </c>
      <c r="EI129" s="286">
        <v>9023822.5737525932</v>
      </c>
      <c r="EJ129" s="472">
        <f t="shared" ref="EJ129:EJ130" si="107">EF129/EI129</f>
        <v>0.49663321318343889</v>
      </c>
      <c r="EK129" s="472">
        <f t="shared" ref="EK129" si="108">1-EJ129</f>
        <v>0.50336678681656111</v>
      </c>
      <c r="EL129" s="596">
        <f>EI129/$EI$135</f>
        <v>0.31712395029192725</v>
      </c>
      <c r="EM129" s="453">
        <v>36.916666666666664</v>
      </c>
      <c r="EN129" s="453">
        <v>88</v>
      </c>
      <c r="EO129" s="453">
        <v>59.916666666666664</v>
      </c>
      <c r="EP129" s="453">
        <v>15</v>
      </c>
      <c r="EQ129" s="453">
        <v>60</v>
      </c>
      <c r="ER129" s="453">
        <v>31.25</v>
      </c>
      <c r="ES129" s="453">
        <v>50</v>
      </c>
      <c r="ET129" s="453">
        <v>207.65</v>
      </c>
      <c r="EU129" s="453">
        <v>110.7</v>
      </c>
      <c r="EV129" s="453">
        <v>99.47881884088693</v>
      </c>
      <c r="FH129">
        <v>33</v>
      </c>
      <c r="FI129" t="s">
        <v>875</v>
      </c>
      <c r="FJ129" t="s">
        <v>876</v>
      </c>
      <c r="FK129" t="s">
        <v>687</v>
      </c>
      <c r="FL129" s="286">
        <v>2000</v>
      </c>
      <c r="FM129" s="286">
        <v>184920.00000000003</v>
      </c>
      <c r="FN129" s="286">
        <v>10045364</v>
      </c>
      <c r="FO129" s="286">
        <v>6285142</v>
      </c>
      <c r="FP129">
        <v>32</v>
      </c>
      <c r="FQ129" s="925">
        <v>1383.6810951873679</v>
      </c>
      <c r="FR129" s="926">
        <v>255870308.12204811</v>
      </c>
      <c r="FS129">
        <v>0</v>
      </c>
    </row>
    <row r="130" spans="1:178" ht="16" customHeight="1">
      <c r="A130">
        <v>2017</v>
      </c>
      <c r="B130">
        <v>3050</v>
      </c>
      <c r="C130" t="s">
        <v>254</v>
      </c>
      <c r="D130" t="s">
        <v>245</v>
      </c>
      <c r="E130" s="203">
        <v>93</v>
      </c>
      <c r="F130" s="203" t="s">
        <v>250</v>
      </c>
      <c r="G130" s="203" t="s">
        <v>247</v>
      </c>
      <c r="H130" s="203" t="s">
        <v>248</v>
      </c>
      <c r="I130" s="202">
        <v>1167</v>
      </c>
      <c r="J130" s="202">
        <v>47325</v>
      </c>
      <c r="K130" s="202">
        <v>123022000</v>
      </c>
      <c r="L130" s="253"/>
      <c r="M130" s="254">
        <v>2019</v>
      </c>
      <c r="N130" s="254">
        <v>1550</v>
      </c>
      <c r="O130" s="255" t="s">
        <v>258</v>
      </c>
      <c r="P130" s="254">
        <v>410</v>
      </c>
      <c r="Q130" s="254">
        <v>222</v>
      </c>
      <c r="R130" s="255" t="s">
        <v>36</v>
      </c>
      <c r="S130" s="255" t="s">
        <v>198</v>
      </c>
      <c r="T130" s="350">
        <v>400000</v>
      </c>
      <c r="U130" s="350">
        <v>546000</v>
      </c>
      <c r="V130" s="350">
        <v>7387000</v>
      </c>
      <c r="W130" s="350">
        <v>0</v>
      </c>
      <c r="X130" s="350">
        <v>8333000</v>
      </c>
      <c r="AA130" s="272">
        <v>2019</v>
      </c>
      <c r="AB130" s="272">
        <v>3410</v>
      </c>
      <c r="AC130" s="273" t="s">
        <v>253</v>
      </c>
      <c r="AD130" s="272" t="s">
        <v>489</v>
      </c>
      <c r="AE130" s="272">
        <v>53</v>
      </c>
      <c r="AF130" s="274" t="s">
        <v>492</v>
      </c>
      <c r="AG130" s="272">
        <v>12615</v>
      </c>
      <c r="AH130" s="272">
        <v>0</v>
      </c>
      <c r="AI130" s="272">
        <v>11181</v>
      </c>
      <c r="AJ130" s="272">
        <v>0</v>
      </c>
      <c r="AK130" s="272">
        <v>918198</v>
      </c>
      <c r="AL130" s="352">
        <v>82.121277166621951</v>
      </c>
      <c r="AX130" s="254">
        <v>2019</v>
      </c>
      <c r="AY130" s="254">
        <v>2670</v>
      </c>
      <c r="AZ130" s="255" t="s">
        <v>257</v>
      </c>
      <c r="BA130" s="254">
        <v>410</v>
      </c>
      <c r="BB130" s="254">
        <v>307</v>
      </c>
      <c r="BC130" s="255" t="s">
        <v>555</v>
      </c>
      <c r="BD130" s="255" t="s">
        <v>561</v>
      </c>
      <c r="BE130" s="350">
        <v>27000</v>
      </c>
      <c r="BF130" s="350">
        <v>222000</v>
      </c>
      <c r="BG130" s="350">
        <v>39352000</v>
      </c>
      <c r="BH130" s="350">
        <v>0</v>
      </c>
      <c r="BI130" s="350">
        <v>39601000</v>
      </c>
      <c r="BX130" s="623"/>
      <c r="BY130" t="s">
        <v>895</v>
      </c>
      <c r="BZ130" t="s">
        <v>896</v>
      </c>
      <c r="CA130">
        <v>1</v>
      </c>
      <c r="CB130">
        <v>1</v>
      </c>
      <c r="CC130" t="s">
        <v>700</v>
      </c>
      <c r="CD130" s="286">
        <v>34440</v>
      </c>
      <c r="CE130" s="296">
        <v>834840</v>
      </c>
      <c r="CF130" s="261">
        <v>32986533</v>
      </c>
      <c r="CG130" s="261">
        <v>36402234</v>
      </c>
      <c r="CH130" s="202">
        <v>2</v>
      </c>
      <c r="CI130" s="261">
        <f>VLOOKUP($CH130,$DC$341:$DG$383,5)</f>
        <v>122.96653784550514</v>
      </c>
      <c r="CJ130" s="261">
        <f>CI130*CE130</f>
        <v>102657384.45494151</v>
      </c>
      <c r="CL130">
        <v>24440</v>
      </c>
      <c r="CM130" s="299">
        <v>2019</v>
      </c>
      <c r="CN130" s="299">
        <v>1370</v>
      </c>
      <c r="CO130" s="300" t="s">
        <v>255</v>
      </c>
      <c r="CP130" s="299">
        <v>755</v>
      </c>
      <c r="CQ130" s="299">
        <v>105</v>
      </c>
      <c r="CR130" s="294" t="s">
        <v>351</v>
      </c>
      <c r="CS130" s="294" t="s">
        <v>352</v>
      </c>
      <c r="CT130" s="294" t="s">
        <v>353</v>
      </c>
      <c r="CU130" s="301">
        <v>185191000</v>
      </c>
      <c r="DB130">
        <f t="shared" si="100"/>
        <v>20</v>
      </c>
      <c r="DC130" s="595" t="s">
        <v>967</v>
      </c>
      <c r="DD130" s="595" t="s">
        <v>968</v>
      </c>
      <c r="DE130" s="595" t="s">
        <v>695</v>
      </c>
      <c r="DF130" s="286">
        <v>1200</v>
      </c>
      <c r="DG130" s="286">
        <v>107160</v>
      </c>
      <c r="DH130" s="286">
        <v>5849373</v>
      </c>
      <c r="DI130" s="286">
        <v>2902765.0000000005</v>
      </c>
      <c r="DJ130">
        <v>7</v>
      </c>
      <c r="DK130" s="643">
        <f t="shared" si="101"/>
        <v>1047.1475692534934</v>
      </c>
      <c r="DL130" s="408">
        <f t="shared" si="102"/>
        <v>112212333.52120435</v>
      </c>
      <c r="DM130" s="286"/>
      <c r="DN130" s="286"/>
      <c r="EC130" s="289" t="s">
        <v>688</v>
      </c>
      <c r="ED130" s="296">
        <v>293496</v>
      </c>
      <c r="EE130" s="478">
        <v>1</v>
      </c>
      <c r="EF130" s="296">
        <v>293496</v>
      </c>
      <c r="EG130" s="477">
        <v>1.987832589432553</v>
      </c>
      <c r="EH130" s="594">
        <v>289924.91366809659</v>
      </c>
      <c r="EI130" s="286">
        <v>583420.91366809653</v>
      </c>
      <c r="EJ130" s="472">
        <f t="shared" si="107"/>
        <v>0.50306047164940593</v>
      </c>
      <c r="EK130" s="472">
        <f t="shared" ref="EK130:EK134" si="109">1-EJ130</f>
        <v>0.49693952835059407</v>
      </c>
      <c r="EL130" s="596">
        <f t="shared" ref="EL130:EL134" si="110">EI130/$EI$135</f>
        <v>2.0503145237308479E-2</v>
      </c>
      <c r="EM130" s="453">
        <v>28.583333333333332</v>
      </c>
      <c r="EN130" s="453">
        <v>111.5</v>
      </c>
      <c r="EO130" s="453">
        <v>57.666666666666664</v>
      </c>
      <c r="EP130" s="453">
        <v>18.8</v>
      </c>
      <c r="EQ130" s="453">
        <v>67.5</v>
      </c>
      <c r="ER130" s="453">
        <v>34.1</v>
      </c>
      <c r="ES130" s="453">
        <v>35</v>
      </c>
      <c r="ET130" s="453">
        <v>251.65</v>
      </c>
      <c r="EU130" s="453">
        <v>106.5</v>
      </c>
      <c r="EV130" s="453">
        <v>95.560433532313894</v>
      </c>
      <c r="FH130">
        <v>33</v>
      </c>
      <c r="FI130" t="s">
        <v>877</v>
      </c>
      <c r="FJ130" t="s">
        <v>878</v>
      </c>
      <c r="FK130" t="s">
        <v>687</v>
      </c>
      <c r="FL130" s="286">
        <v>5672</v>
      </c>
      <c r="FM130" s="286">
        <v>517924</v>
      </c>
      <c r="FN130" s="286">
        <v>28492477</v>
      </c>
      <c r="FO130" s="286">
        <v>20124377</v>
      </c>
      <c r="FP130">
        <v>32</v>
      </c>
      <c r="FQ130" s="925">
        <v>1383.6810951873679</v>
      </c>
      <c r="FR130" s="926">
        <v>716641647.54382229</v>
      </c>
      <c r="FS130">
        <v>0</v>
      </c>
    </row>
    <row r="131" spans="1:178" ht="16" customHeight="1">
      <c r="A131">
        <v>2017</v>
      </c>
      <c r="B131">
        <v>3050</v>
      </c>
      <c r="C131" t="s">
        <v>254</v>
      </c>
      <c r="D131" t="s">
        <v>245</v>
      </c>
      <c r="E131" s="203">
        <v>94</v>
      </c>
      <c r="F131" s="203" t="s">
        <v>250</v>
      </c>
      <c r="G131" s="203" t="s">
        <v>247</v>
      </c>
      <c r="H131" s="204" t="s">
        <v>249</v>
      </c>
      <c r="I131" s="202">
        <v>0</v>
      </c>
      <c r="J131" s="202">
        <v>0</v>
      </c>
      <c r="K131" s="202">
        <v>0</v>
      </c>
      <c r="L131" s="253"/>
      <c r="M131" s="254">
        <v>2019</v>
      </c>
      <c r="N131" s="254">
        <v>1550</v>
      </c>
      <c r="O131" s="255" t="s">
        <v>258</v>
      </c>
      <c r="P131" s="254">
        <v>410</v>
      </c>
      <c r="Q131" s="254">
        <v>223</v>
      </c>
      <c r="R131" s="255" t="s">
        <v>36</v>
      </c>
      <c r="S131" s="255" t="s">
        <v>199</v>
      </c>
      <c r="T131" s="350">
        <v>2684000</v>
      </c>
      <c r="U131" s="350">
        <v>3324000</v>
      </c>
      <c r="V131" s="350">
        <v>0</v>
      </c>
      <c r="W131" s="350">
        <v>0</v>
      </c>
      <c r="X131" s="350">
        <v>6008000</v>
      </c>
      <c r="AA131" s="272">
        <v>2019</v>
      </c>
      <c r="AB131" s="272">
        <v>3410</v>
      </c>
      <c r="AC131" s="273" t="s">
        <v>253</v>
      </c>
      <c r="AD131" s="272" t="s">
        <v>489</v>
      </c>
      <c r="AE131" s="272">
        <v>54</v>
      </c>
      <c r="AF131" s="274" t="s">
        <v>493</v>
      </c>
      <c r="AG131" s="272">
        <v>0</v>
      </c>
      <c r="AH131" s="272">
        <v>1</v>
      </c>
      <c r="AI131" s="272">
        <v>0</v>
      </c>
      <c r="AJ131" s="272">
        <v>1</v>
      </c>
      <c r="AK131" s="272">
        <v>0</v>
      </c>
      <c r="AL131" s="352">
        <v>0</v>
      </c>
      <c r="AX131" s="254">
        <v>2019</v>
      </c>
      <c r="AY131" s="254">
        <v>2670</v>
      </c>
      <c r="AZ131" s="255" t="s">
        <v>257</v>
      </c>
      <c r="BA131" s="254">
        <v>410</v>
      </c>
      <c r="BB131" s="254">
        <v>308</v>
      </c>
      <c r="BC131" s="255" t="s">
        <v>555</v>
      </c>
      <c r="BD131" s="255" t="s">
        <v>560</v>
      </c>
      <c r="BE131" s="350">
        <v>0</v>
      </c>
      <c r="BF131" s="350">
        <v>0</v>
      </c>
      <c r="BG131" s="350">
        <v>0</v>
      </c>
      <c r="BH131" s="350">
        <v>0</v>
      </c>
      <c r="BI131" s="350">
        <v>0</v>
      </c>
      <c r="BX131" s="623"/>
      <c r="BY131" t="s">
        <v>1227</v>
      </c>
      <c r="BZ131" t="s">
        <v>1228</v>
      </c>
      <c r="CA131">
        <v>1</v>
      </c>
      <c r="CB131">
        <v>1</v>
      </c>
      <c r="CC131" t="s">
        <v>700</v>
      </c>
      <c r="CD131" s="286">
        <v>720</v>
      </c>
      <c r="CE131" s="296">
        <v>15000</v>
      </c>
      <c r="CF131" s="261">
        <v>1406560</v>
      </c>
      <c r="CG131" s="261">
        <v>932563</v>
      </c>
      <c r="CH131" s="202">
        <v>2</v>
      </c>
      <c r="CI131" s="261">
        <f t="shared" ref="CI131:CI194" si="111">VLOOKUP($CH131,$DC$341:$DG$383,5)</f>
        <v>122.96653784550514</v>
      </c>
      <c r="CJ131" s="261">
        <f t="shared" ref="CJ131:CJ194" si="112">CI131*CE131</f>
        <v>1844498.0676825771</v>
      </c>
      <c r="CL131">
        <v>8000</v>
      </c>
      <c r="CM131" s="299">
        <v>2019</v>
      </c>
      <c r="CN131" s="299">
        <v>1370</v>
      </c>
      <c r="CO131" s="300" t="s">
        <v>255</v>
      </c>
      <c r="CP131" s="299">
        <v>755</v>
      </c>
      <c r="CQ131" s="299">
        <v>106</v>
      </c>
      <c r="CR131" s="294" t="s">
        <v>351</v>
      </c>
      <c r="CS131" s="294" t="s">
        <v>354</v>
      </c>
      <c r="CT131" s="294" t="s">
        <v>355</v>
      </c>
      <c r="CU131" s="301">
        <v>3751000</v>
      </c>
      <c r="DB131">
        <f t="shared" si="100"/>
        <v>20</v>
      </c>
      <c r="DC131" s="595" t="s">
        <v>1119</v>
      </c>
      <c r="DD131" s="595" t="s">
        <v>1120</v>
      </c>
      <c r="DE131" s="595" t="s">
        <v>695</v>
      </c>
      <c r="DF131" s="286">
        <v>240</v>
      </c>
      <c r="DG131" s="286">
        <v>21800</v>
      </c>
      <c r="DH131" s="286">
        <v>1419480</v>
      </c>
      <c r="DI131" s="286">
        <v>550641</v>
      </c>
      <c r="DJ131">
        <v>7</v>
      </c>
      <c r="DK131" s="643">
        <f t="shared" si="101"/>
        <v>1047.1475692534934</v>
      </c>
      <c r="DL131" s="408">
        <f t="shared" si="102"/>
        <v>22827817.009726156</v>
      </c>
      <c r="DM131" s="286"/>
      <c r="DN131" s="286"/>
      <c r="EC131" s="289" t="s">
        <v>691</v>
      </c>
      <c r="ED131" s="296">
        <v>758141</v>
      </c>
      <c r="EE131" s="478">
        <v>1</v>
      </c>
      <c r="EF131" s="296">
        <v>758141</v>
      </c>
      <c r="EG131" s="477">
        <v>2.0178512661050467</v>
      </c>
      <c r="EH131" s="594">
        <v>771674.77673614619</v>
      </c>
      <c r="EI131" s="286">
        <v>1529815.7767361463</v>
      </c>
      <c r="EJ131" s="472">
        <f t="shared" ref="EJ131:EJ134" si="113">EF131/EI131</f>
        <v>0.49557666454289662</v>
      </c>
      <c r="EK131" s="472">
        <f>1-EJ131</f>
        <v>0.50442333545710338</v>
      </c>
      <c r="EL131" s="596">
        <f t="shared" si="110"/>
        <v>5.3762274066491512E-2</v>
      </c>
      <c r="EM131" s="453">
        <v>32.333333333333336</v>
      </c>
      <c r="EN131" s="453">
        <v>75.583333333333329</v>
      </c>
      <c r="EO131" s="453">
        <v>51</v>
      </c>
      <c r="EP131" s="453">
        <v>17</v>
      </c>
      <c r="EQ131" s="453">
        <v>45.9</v>
      </c>
      <c r="ER131" s="453">
        <v>28.4</v>
      </c>
      <c r="ES131" s="453">
        <v>70</v>
      </c>
      <c r="ET131" s="453">
        <v>122.5</v>
      </c>
      <c r="EU131" s="453">
        <v>112.45</v>
      </c>
      <c r="EV131" s="453">
        <v>101.80793282516049</v>
      </c>
      <c r="FH131">
        <v>33</v>
      </c>
      <c r="FI131" t="s">
        <v>879</v>
      </c>
      <c r="FJ131" t="s">
        <v>880</v>
      </c>
      <c r="FK131" t="s">
        <v>687</v>
      </c>
      <c r="FL131" s="286">
        <v>7576</v>
      </c>
      <c r="FM131" s="286">
        <v>753968</v>
      </c>
      <c r="FN131" s="286">
        <v>33612380.000000007</v>
      </c>
      <c r="FO131" s="286">
        <v>21001449.999999996</v>
      </c>
      <c r="FP131">
        <v>32</v>
      </c>
      <c r="FQ131" s="925">
        <v>1383.6810951873679</v>
      </c>
      <c r="FR131" s="926">
        <v>1043251267.9762294</v>
      </c>
      <c r="FS131">
        <v>0</v>
      </c>
    </row>
    <row r="132" spans="1:178" ht="16" customHeight="1">
      <c r="A132">
        <v>2017</v>
      </c>
      <c r="B132">
        <v>3050</v>
      </c>
      <c r="C132" t="s">
        <v>254</v>
      </c>
      <c r="D132" t="s">
        <v>245</v>
      </c>
      <c r="E132" s="203">
        <v>97</v>
      </c>
      <c r="F132" s="203" t="s">
        <v>251</v>
      </c>
      <c r="G132" s="203" t="s">
        <v>247</v>
      </c>
      <c r="H132" s="203" t="s">
        <v>248</v>
      </c>
      <c r="I132" s="202">
        <v>0</v>
      </c>
      <c r="J132" s="202">
        <v>0</v>
      </c>
      <c r="K132" s="202">
        <v>0</v>
      </c>
      <c r="L132" s="253"/>
      <c r="M132" s="254">
        <v>2019</v>
      </c>
      <c r="N132" s="254">
        <v>1550</v>
      </c>
      <c r="O132" s="255" t="s">
        <v>258</v>
      </c>
      <c r="P132" s="254">
        <v>410</v>
      </c>
      <c r="Q132" s="254">
        <v>224</v>
      </c>
      <c r="R132" s="255" t="s">
        <v>36</v>
      </c>
      <c r="S132" s="255" t="s">
        <v>200</v>
      </c>
      <c r="T132" s="350">
        <v>0</v>
      </c>
      <c r="U132" s="350">
        <v>0</v>
      </c>
      <c r="V132" s="350">
        <v>0</v>
      </c>
      <c r="W132" s="350">
        <v>20119000</v>
      </c>
      <c r="X132" s="350">
        <v>20119000</v>
      </c>
      <c r="AA132" s="272">
        <v>2019</v>
      </c>
      <c r="AB132" s="272">
        <v>3410</v>
      </c>
      <c r="AC132" s="273" t="s">
        <v>253</v>
      </c>
      <c r="AD132" s="272" t="s">
        <v>489</v>
      </c>
      <c r="AE132" s="272">
        <v>55</v>
      </c>
      <c r="AF132" s="274" t="s">
        <v>494</v>
      </c>
      <c r="AG132" s="272">
        <v>12615</v>
      </c>
      <c r="AH132" s="272">
        <v>1</v>
      </c>
      <c r="AI132" s="272">
        <v>11181</v>
      </c>
      <c r="AJ132" s="272">
        <v>1</v>
      </c>
      <c r="AK132" s="272">
        <v>918198</v>
      </c>
      <c r="AL132" s="352">
        <v>82.121277166621951</v>
      </c>
      <c r="AX132" s="254">
        <v>2019</v>
      </c>
      <c r="AY132" s="254">
        <v>2670</v>
      </c>
      <c r="AZ132" s="255" t="s">
        <v>257</v>
      </c>
      <c r="BA132" s="254">
        <v>410</v>
      </c>
      <c r="BB132" s="254">
        <v>309</v>
      </c>
      <c r="BC132" s="255" t="s">
        <v>555</v>
      </c>
      <c r="BD132" s="255" t="s">
        <v>200</v>
      </c>
      <c r="BE132" s="350">
        <v>0</v>
      </c>
      <c r="BF132" s="350">
        <v>0</v>
      </c>
      <c r="BG132" s="350">
        <v>0</v>
      </c>
      <c r="BH132" s="350">
        <v>93000</v>
      </c>
      <c r="BI132" s="350">
        <v>93000</v>
      </c>
      <c r="BX132" s="623"/>
      <c r="BY132" t="s">
        <v>903</v>
      </c>
      <c r="BZ132" t="s">
        <v>904</v>
      </c>
      <c r="CA132">
        <v>1</v>
      </c>
      <c r="CB132">
        <v>1</v>
      </c>
      <c r="CC132" t="s">
        <v>700</v>
      </c>
      <c r="CD132" s="286">
        <v>99200</v>
      </c>
      <c r="CE132" s="296">
        <v>2502280</v>
      </c>
      <c r="CF132" s="261">
        <v>122376430</v>
      </c>
      <c r="CG132" s="261">
        <v>119682076</v>
      </c>
      <c r="CH132" s="202">
        <v>2</v>
      </c>
      <c r="CI132" s="261">
        <f t="shared" si="111"/>
        <v>122.96653784550514</v>
      </c>
      <c r="CJ132" s="261">
        <f t="shared" si="112"/>
        <v>307696708.3200506</v>
      </c>
      <c r="CL132">
        <v>13920</v>
      </c>
      <c r="CM132" s="299">
        <v>2019</v>
      </c>
      <c r="CN132" s="299">
        <v>1370</v>
      </c>
      <c r="CO132" s="300" t="s">
        <v>255</v>
      </c>
      <c r="CP132" s="299">
        <v>755</v>
      </c>
      <c r="CQ132" s="299">
        <v>107</v>
      </c>
      <c r="CR132" s="294" t="s">
        <v>351</v>
      </c>
      <c r="CS132" s="294" t="s">
        <v>356</v>
      </c>
      <c r="CT132" s="294" t="s">
        <v>357</v>
      </c>
      <c r="CU132" s="301">
        <v>188942000</v>
      </c>
      <c r="DB132">
        <f t="shared" si="100"/>
        <v>20</v>
      </c>
      <c r="DC132" s="595" t="s">
        <v>832</v>
      </c>
      <c r="DD132" s="595" t="s">
        <v>833</v>
      </c>
      <c r="DE132" s="595" t="s">
        <v>687</v>
      </c>
      <c r="DF132" s="286">
        <v>9040</v>
      </c>
      <c r="DG132" s="286">
        <v>763880</v>
      </c>
      <c r="DH132" s="286">
        <v>59389291.999999993</v>
      </c>
      <c r="DI132" s="286">
        <v>47956665.000000007</v>
      </c>
      <c r="DJ132">
        <v>7</v>
      </c>
      <c r="DK132" s="643">
        <f t="shared" si="101"/>
        <v>1047.1475692534934</v>
      </c>
      <c r="DL132" s="408">
        <f t="shared" si="102"/>
        <v>799895085.20135856</v>
      </c>
      <c r="DM132" s="286"/>
      <c r="DN132" s="286"/>
      <c r="EC132" s="289" t="s">
        <v>697</v>
      </c>
      <c r="ED132" s="296">
        <v>2893814</v>
      </c>
      <c r="EE132" s="478">
        <v>1</v>
      </c>
      <c r="EF132" s="296">
        <v>2893814</v>
      </c>
      <c r="EG132" s="477">
        <v>2.0160338160588367</v>
      </c>
      <c r="EH132" s="594">
        <v>2940212.8813844863</v>
      </c>
      <c r="EI132" s="286">
        <v>5834026.8813844863</v>
      </c>
      <c r="EJ132" s="472">
        <f t="shared" si="113"/>
        <v>0.49602342581480569</v>
      </c>
      <c r="EK132" s="472">
        <f t="shared" si="109"/>
        <v>0.50397657418519426</v>
      </c>
      <c r="EL132" s="596">
        <f t="shared" si="110"/>
        <v>0.20502504738017757</v>
      </c>
      <c r="EM132" s="453">
        <v>28.583333333333332</v>
      </c>
      <c r="EN132" s="453">
        <v>111.5</v>
      </c>
      <c r="EO132" s="453">
        <v>53.083333333333336</v>
      </c>
      <c r="EP132" s="453">
        <v>17</v>
      </c>
      <c r="EQ132" s="453">
        <v>66.25</v>
      </c>
      <c r="ER132" s="453">
        <v>21.9</v>
      </c>
      <c r="ES132" s="453">
        <v>78.8</v>
      </c>
      <c r="ET132" s="453">
        <v>248.75</v>
      </c>
      <c r="EU132" s="453">
        <v>121.15</v>
      </c>
      <c r="EV132" s="453">
        <v>117.38725605723107</v>
      </c>
      <c r="FH132">
        <v>42</v>
      </c>
      <c r="FI132" t="s">
        <v>889</v>
      </c>
      <c r="FJ132" t="s">
        <v>890</v>
      </c>
      <c r="FK132" t="s">
        <v>687</v>
      </c>
      <c r="FL132" s="286">
        <v>1680</v>
      </c>
      <c r="FM132" s="286">
        <v>72720</v>
      </c>
      <c r="FN132" s="286">
        <v>3152280</v>
      </c>
      <c r="FO132" s="286">
        <v>5741340</v>
      </c>
      <c r="FP132">
        <v>33</v>
      </c>
      <c r="FQ132" s="925">
        <v>3091.5868848384584</v>
      </c>
      <c r="FR132" s="926">
        <v>224820198.26545271</v>
      </c>
      <c r="FS132">
        <v>0</v>
      </c>
    </row>
    <row r="133" spans="1:178" ht="16" customHeight="1">
      <c r="A133">
        <v>2017</v>
      </c>
      <c r="B133">
        <v>3050</v>
      </c>
      <c r="C133" t="s">
        <v>254</v>
      </c>
      <c r="D133" t="s">
        <v>245</v>
      </c>
      <c r="E133" s="203">
        <v>98</v>
      </c>
      <c r="F133" s="203" t="s">
        <v>251</v>
      </c>
      <c r="G133" s="203" t="s">
        <v>247</v>
      </c>
      <c r="H133" s="204" t="s">
        <v>249</v>
      </c>
      <c r="I133" s="202">
        <v>0</v>
      </c>
      <c r="J133" s="202">
        <v>0</v>
      </c>
      <c r="K133" s="202">
        <v>0</v>
      </c>
      <c r="L133" s="253"/>
      <c r="M133" s="254">
        <v>2019</v>
      </c>
      <c r="N133" s="254">
        <v>1550</v>
      </c>
      <c r="O133" s="255" t="s">
        <v>258</v>
      </c>
      <c r="P133" s="254">
        <v>410</v>
      </c>
      <c r="Q133" s="254">
        <v>225</v>
      </c>
      <c r="R133" s="255" t="s">
        <v>36</v>
      </c>
      <c r="S133" s="255" t="s">
        <v>201</v>
      </c>
      <c r="T133" s="350">
        <v>0</v>
      </c>
      <c r="U133" s="350">
        <v>0</v>
      </c>
      <c r="V133" s="350">
        <v>0</v>
      </c>
      <c r="W133" s="350">
        <v>11756000</v>
      </c>
      <c r="X133" s="350">
        <v>11756000</v>
      </c>
      <c r="AA133" s="272">
        <v>2019</v>
      </c>
      <c r="AB133" s="272">
        <v>3680</v>
      </c>
      <c r="AC133" s="273" t="s">
        <v>252</v>
      </c>
      <c r="AD133" s="272" t="s">
        <v>489</v>
      </c>
      <c r="AE133" s="272">
        <v>36</v>
      </c>
      <c r="AF133" s="274" t="s">
        <v>387</v>
      </c>
      <c r="AG133" s="272">
        <v>0</v>
      </c>
      <c r="AH133" s="272">
        <v>0</v>
      </c>
      <c r="AI133" s="272">
        <v>0</v>
      </c>
      <c r="AJ133" s="272">
        <v>0</v>
      </c>
      <c r="AK133" s="272">
        <v>0</v>
      </c>
      <c r="AL133" s="352">
        <v>0</v>
      </c>
      <c r="AX133" s="254">
        <v>2019</v>
      </c>
      <c r="AY133" s="254">
        <v>2670</v>
      </c>
      <c r="AZ133" s="255" t="s">
        <v>257</v>
      </c>
      <c r="BA133" s="254">
        <v>410</v>
      </c>
      <c r="BB133" s="254">
        <v>310</v>
      </c>
      <c r="BC133" s="255" t="s">
        <v>555</v>
      </c>
      <c r="BD133" s="255" t="s">
        <v>201</v>
      </c>
      <c r="BE133" s="350">
        <v>0</v>
      </c>
      <c r="BF133" s="350">
        <v>0</v>
      </c>
      <c r="BG133" s="350">
        <v>0</v>
      </c>
      <c r="BH133" s="350">
        <v>461000</v>
      </c>
      <c r="BI133" s="350">
        <v>461000</v>
      </c>
      <c r="BX133" s="623"/>
      <c r="BY133" t="s">
        <v>907</v>
      </c>
      <c r="BZ133" t="s">
        <v>908</v>
      </c>
      <c r="CA133">
        <v>1</v>
      </c>
      <c r="CB133">
        <v>1</v>
      </c>
      <c r="CC133" t="s">
        <v>700</v>
      </c>
      <c r="CD133" s="286">
        <v>22400</v>
      </c>
      <c r="CE133" s="296">
        <v>559360</v>
      </c>
      <c r="CF133" s="261">
        <v>25078177</v>
      </c>
      <c r="CG133" s="261">
        <v>26082031</v>
      </c>
      <c r="CH133" s="202">
        <v>3</v>
      </c>
      <c r="CI133" s="261">
        <f t="shared" si="111"/>
        <v>679.18710494589243</v>
      </c>
      <c r="CJ133" s="261">
        <f t="shared" si="112"/>
        <v>379910099.02253437</v>
      </c>
      <c r="CL133">
        <v>12440</v>
      </c>
      <c r="CM133" s="299">
        <v>2019</v>
      </c>
      <c r="CN133" s="299">
        <v>1370</v>
      </c>
      <c r="CO133" s="300" t="s">
        <v>255</v>
      </c>
      <c r="CP133" s="299">
        <v>755</v>
      </c>
      <c r="CQ133" s="299">
        <v>108</v>
      </c>
      <c r="CR133" s="294" t="s">
        <v>358</v>
      </c>
      <c r="CS133" s="294" t="s">
        <v>359</v>
      </c>
      <c r="CT133" s="294" t="s">
        <v>360</v>
      </c>
      <c r="CU133" s="301">
        <v>62606895000</v>
      </c>
      <c r="DB133">
        <f t="shared" si="100"/>
        <v>20</v>
      </c>
      <c r="DC133" s="595" t="s">
        <v>832</v>
      </c>
      <c r="DD133" s="595" t="s">
        <v>833</v>
      </c>
      <c r="DE133" s="595" t="s">
        <v>686</v>
      </c>
      <c r="DF133" s="286">
        <v>320</v>
      </c>
      <c r="DG133" s="286">
        <v>28560</v>
      </c>
      <c r="DH133" s="286">
        <v>2432640</v>
      </c>
      <c r="DI133" s="286">
        <v>1934714</v>
      </c>
      <c r="DJ133">
        <v>7</v>
      </c>
      <c r="DK133" s="643">
        <f t="shared" si="101"/>
        <v>1047.1475692534934</v>
      </c>
      <c r="DL133" s="408">
        <f t="shared" si="102"/>
        <v>29906534.577879772</v>
      </c>
      <c r="DM133" s="286"/>
      <c r="DN133" s="286"/>
      <c r="EC133" s="289" t="s">
        <v>698</v>
      </c>
      <c r="ED133" s="296">
        <v>2187568</v>
      </c>
      <c r="EE133" s="478">
        <v>1</v>
      </c>
      <c r="EF133" s="296">
        <v>2187568</v>
      </c>
      <c r="EG133" s="477">
        <v>2.0160338160588367</v>
      </c>
      <c r="EH133" s="594">
        <v>2222643.0629281974</v>
      </c>
      <c r="EI133" s="286">
        <v>4410211.0629281979</v>
      </c>
      <c r="EJ133" s="472">
        <f t="shared" si="113"/>
        <v>0.49602342581480563</v>
      </c>
      <c r="EK133" s="472">
        <f t="shared" si="109"/>
        <v>0.50397657418519437</v>
      </c>
      <c r="EL133" s="596">
        <f t="shared" si="110"/>
        <v>0.15498792695292798</v>
      </c>
      <c r="EM133" s="453">
        <v>24</v>
      </c>
      <c r="EN133" s="453">
        <v>166.58333333333334</v>
      </c>
      <c r="EO133" s="453">
        <v>53.083333333333336</v>
      </c>
      <c r="EP133" s="453">
        <v>16.5</v>
      </c>
      <c r="EQ133" s="453">
        <v>79.8</v>
      </c>
      <c r="ER133" s="453">
        <v>24.8</v>
      </c>
      <c r="ES133" s="453">
        <v>69.5</v>
      </c>
      <c r="ET133" s="453">
        <v>340.2</v>
      </c>
      <c r="EU133" s="453">
        <v>118.15</v>
      </c>
      <c r="EV133" s="453">
        <v>112.46038248868147</v>
      </c>
      <c r="FH133">
        <v>42</v>
      </c>
      <c r="FI133" t="s">
        <v>891</v>
      </c>
      <c r="FJ133" t="s">
        <v>892</v>
      </c>
      <c r="FK133" t="s">
        <v>687</v>
      </c>
      <c r="FL133" s="286">
        <v>1840</v>
      </c>
      <c r="FM133" s="286">
        <v>54440</v>
      </c>
      <c r="FN133" s="286">
        <v>4016480</v>
      </c>
      <c r="FO133" s="286">
        <v>5670203</v>
      </c>
      <c r="FP133">
        <v>33</v>
      </c>
      <c r="FQ133" s="925">
        <v>3091.5868848384584</v>
      </c>
      <c r="FR133" s="926">
        <v>168305990.01060566</v>
      </c>
      <c r="FS133">
        <v>0</v>
      </c>
    </row>
    <row r="134" spans="1:178" ht="16" customHeight="1">
      <c r="A134">
        <v>2017</v>
      </c>
      <c r="B134">
        <v>1370</v>
      </c>
      <c r="C134" t="s">
        <v>255</v>
      </c>
      <c r="D134" t="s">
        <v>245</v>
      </c>
      <c r="E134" s="203">
        <v>91</v>
      </c>
      <c r="F134" s="203" t="s">
        <v>246</v>
      </c>
      <c r="G134" s="203" t="s">
        <v>247</v>
      </c>
      <c r="H134" s="203" t="s">
        <v>248</v>
      </c>
      <c r="I134" s="202">
        <v>22</v>
      </c>
      <c r="J134" s="202">
        <v>4105</v>
      </c>
      <c r="K134" s="202">
        <v>54669000</v>
      </c>
      <c r="L134" s="253"/>
      <c r="M134" s="254">
        <v>2019</v>
      </c>
      <c r="N134" s="254">
        <v>1550</v>
      </c>
      <c r="O134" s="255" t="s">
        <v>258</v>
      </c>
      <c r="P134" s="254">
        <v>410</v>
      </c>
      <c r="Q134" s="254">
        <v>226</v>
      </c>
      <c r="R134" s="255" t="s">
        <v>36</v>
      </c>
      <c r="S134" s="255" t="s">
        <v>137</v>
      </c>
      <c r="T134" s="350">
        <v>0</v>
      </c>
      <c r="U134" s="350">
        <v>0</v>
      </c>
      <c r="V134" s="350">
        <v>34339000</v>
      </c>
      <c r="W134" s="350">
        <v>0</v>
      </c>
      <c r="X134" s="350">
        <v>34339000</v>
      </c>
      <c r="AA134" s="272">
        <v>2019</v>
      </c>
      <c r="AB134" s="272">
        <v>3680</v>
      </c>
      <c r="AC134" s="273" t="s">
        <v>252</v>
      </c>
      <c r="AD134" s="272" t="s">
        <v>489</v>
      </c>
      <c r="AE134" s="272">
        <v>37</v>
      </c>
      <c r="AF134" s="274" t="s">
        <v>388</v>
      </c>
      <c r="AG134" s="272">
        <v>2</v>
      </c>
      <c r="AH134" s="272">
        <v>0</v>
      </c>
      <c r="AI134" s="272">
        <v>2</v>
      </c>
      <c r="AJ134" s="272">
        <v>0</v>
      </c>
      <c r="AK134" s="272">
        <v>160</v>
      </c>
      <c r="AL134" s="352">
        <v>80</v>
      </c>
      <c r="AX134" s="254">
        <v>2019</v>
      </c>
      <c r="AY134" s="254">
        <v>2670</v>
      </c>
      <c r="AZ134" s="255" t="s">
        <v>257</v>
      </c>
      <c r="BA134" s="254">
        <v>410</v>
      </c>
      <c r="BB134" s="254">
        <v>311</v>
      </c>
      <c r="BC134" s="255" t="s">
        <v>555</v>
      </c>
      <c r="BD134" s="255" t="s">
        <v>137</v>
      </c>
      <c r="BE134" s="350">
        <v>0</v>
      </c>
      <c r="BF134" s="350">
        <v>0</v>
      </c>
      <c r="BG134" s="350">
        <v>11686000</v>
      </c>
      <c r="BH134" s="350">
        <v>0</v>
      </c>
      <c r="BI134" s="350">
        <v>11686000</v>
      </c>
      <c r="BX134" s="623"/>
      <c r="BY134" t="s">
        <v>911</v>
      </c>
      <c r="BZ134" t="s">
        <v>912</v>
      </c>
      <c r="CA134">
        <v>1</v>
      </c>
      <c r="CB134">
        <v>1</v>
      </c>
      <c r="CC134" t="s">
        <v>700</v>
      </c>
      <c r="CD134" s="286">
        <v>12200</v>
      </c>
      <c r="CE134" s="296">
        <v>297480</v>
      </c>
      <c r="CF134" s="261">
        <v>15034120</v>
      </c>
      <c r="CG134" s="261">
        <v>14572429</v>
      </c>
      <c r="CH134" s="202">
        <v>3</v>
      </c>
      <c r="CI134" s="261">
        <f t="shared" si="111"/>
        <v>679.18710494589243</v>
      </c>
      <c r="CJ134" s="261">
        <f t="shared" si="112"/>
        <v>202044579.97930408</v>
      </c>
      <c r="CL134">
        <v>10880</v>
      </c>
      <c r="CM134" s="299">
        <v>2019</v>
      </c>
      <c r="CN134" s="299">
        <v>1370</v>
      </c>
      <c r="CO134" s="300" t="s">
        <v>255</v>
      </c>
      <c r="CP134" s="299">
        <v>755</v>
      </c>
      <c r="CQ134" s="299">
        <v>109</v>
      </c>
      <c r="CR134" s="294" t="s">
        <v>358</v>
      </c>
      <c r="CS134" s="294" t="s">
        <v>359</v>
      </c>
      <c r="CT134" s="294" t="s">
        <v>361</v>
      </c>
      <c r="CU134" s="301">
        <v>0</v>
      </c>
      <c r="DB134">
        <f t="shared" si="100"/>
        <v>24</v>
      </c>
      <c r="DC134" s="595" t="s">
        <v>1041</v>
      </c>
      <c r="DD134" s="595" t="s">
        <v>1042</v>
      </c>
      <c r="DE134" s="595" t="s">
        <v>694</v>
      </c>
      <c r="DF134" s="286">
        <v>564</v>
      </c>
      <c r="DG134" s="286">
        <v>48024</v>
      </c>
      <c r="DH134" s="286">
        <v>2626584</v>
      </c>
      <c r="DI134" s="286">
        <v>936886</v>
      </c>
      <c r="DJ134">
        <v>26</v>
      </c>
      <c r="DK134" s="643">
        <f t="shared" si="101"/>
        <v>528.3954317970871</v>
      </c>
      <c r="DL134" s="408">
        <f t="shared" si="102"/>
        <v>25375662.21662331</v>
      </c>
      <c r="DM134" s="286"/>
      <c r="DN134" s="286"/>
      <c r="EC134" s="289" t="s">
        <v>695</v>
      </c>
      <c r="ED134" s="296">
        <v>3479914</v>
      </c>
      <c r="EE134" s="478">
        <v>1</v>
      </c>
      <c r="EF134" s="296">
        <v>3479914</v>
      </c>
      <c r="EG134" s="477">
        <v>2.03277833409512</v>
      </c>
      <c r="EH134" s="594">
        <v>3593979.7837142856</v>
      </c>
      <c r="EI134" s="286">
        <v>7073893.7837142851</v>
      </c>
      <c r="EJ134" s="472">
        <f t="shared" si="113"/>
        <v>0.49193755326261113</v>
      </c>
      <c r="EK134" s="472">
        <f t="shared" si="109"/>
        <v>0.50806244673738887</v>
      </c>
      <c r="EL134" s="596">
        <f t="shared" si="110"/>
        <v>0.24859765607116724</v>
      </c>
      <c r="EM134" s="453">
        <v>32.833333333333336</v>
      </c>
      <c r="EN134" s="453">
        <v>81.833333333333329</v>
      </c>
      <c r="EO134" s="453">
        <v>59.333333333333336</v>
      </c>
      <c r="EP134" s="453">
        <v>15.6</v>
      </c>
      <c r="EQ134" s="453">
        <v>93.5</v>
      </c>
      <c r="ER134" s="453">
        <v>37.9</v>
      </c>
      <c r="ES134" s="453">
        <v>40</v>
      </c>
      <c r="ET134" s="453">
        <v>149.05000000000001</v>
      </c>
      <c r="EU134" s="453">
        <v>98.35</v>
      </c>
      <c r="EV134" s="453">
        <v>86.617876763621169</v>
      </c>
      <c r="FH134">
        <v>37</v>
      </c>
      <c r="FI134" t="s">
        <v>881</v>
      </c>
      <c r="FJ134" t="s">
        <v>882</v>
      </c>
      <c r="FK134" t="s">
        <v>687</v>
      </c>
      <c r="FL134" s="286">
        <v>59400</v>
      </c>
      <c r="FM134" s="286">
        <v>1939679.9999999998</v>
      </c>
      <c r="FN134" s="286">
        <v>176383024</v>
      </c>
      <c r="FO134" s="286">
        <v>90767984</v>
      </c>
      <c r="FP134">
        <v>36</v>
      </c>
      <c r="FQ134" s="925">
        <v>7463.6077432689826</v>
      </c>
      <c r="FR134" s="926">
        <v>14477010667.463978</v>
      </c>
      <c r="FS134">
        <v>0</v>
      </c>
    </row>
    <row r="135" spans="1:178" ht="16" customHeight="1">
      <c r="A135">
        <v>2017</v>
      </c>
      <c r="B135">
        <v>1370</v>
      </c>
      <c r="C135" t="s">
        <v>255</v>
      </c>
      <c r="D135" t="s">
        <v>245</v>
      </c>
      <c r="E135" s="203">
        <v>92</v>
      </c>
      <c r="F135" s="203" t="s">
        <v>246</v>
      </c>
      <c r="G135" s="203" t="s">
        <v>247</v>
      </c>
      <c r="H135" s="204" t="s">
        <v>249</v>
      </c>
      <c r="I135" s="202">
        <v>0</v>
      </c>
      <c r="J135" s="202">
        <v>0</v>
      </c>
      <c r="K135" s="202">
        <v>0</v>
      </c>
      <c r="L135" s="253"/>
      <c r="M135" s="254">
        <v>2019</v>
      </c>
      <c r="N135" s="254">
        <v>1550</v>
      </c>
      <c r="O135" s="255" t="s">
        <v>258</v>
      </c>
      <c r="P135" s="254">
        <v>410</v>
      </c>
      <c r="Q135" s="254">
        <v>227</v>
      </c>
      <c r="R135" s="255" t="s">
        <v>36</v>
      </c>
      <c r="S135" s="255" t="s">
        <v>138</v>
      </c>
      <c r="T135" s="350">
        <v>0</v>
      </c>
      <c r="U135" s="350">
        <v>0</v>
      </c>
      <c r="V135" s="350">
        <v>-11499000</v>
      </c>
      <c r="W135" s="350">
        <v>0</v>
      </c>
      <c r="X135" s="350">
        <v>-11499000</v>
      </c>
      <c r="AA135" s="272">
        <v>2019</v>
      </c>
      <c r="AB135" s="272">
        <v>3680</v>
      </c>
      <c r="AC135" s="273" t="s">
        <v>252</v>
      </c>
      <c r="AD135" s="272" t="s">
        <v>489</v>
      </c>
      <c r="AE135" s="272">
        <v>38</v>
      </c>
      <c r="AF135" s="274" t="s">
        <v>389</v>
      </c>
      <c r="AG135" s="272">
        <v>0</v>
      </c>
      <c r="AH135" s="272">
        <v>0</v>
      </c>
      <c r="AI135" s="272">
        <v>0</v>
      </c>
      <c r="AJ135" s="272">
        <v>0</v>
      </c>
      <c r="AK135" s="272">
        <v>0</v>
      </c>
      <c r="AL135" s="352">
        <v>0</v>
      </c>
      <c r="AX135" s="254">
        <v>2019</v>
      </c>
      <c r="AY135" s="254">
        <v>2670</v>
      </c>
      <c r="AZ135" s="255" t="s">
        <v>257</v>
      </c>
      <c r="BA135" s="254">
        <v>410</v>
      </c>
      <c r="BB135" s="254">
        <v>312</v>
      </c>
      <c r="BC135" s="255" t="s">
        <v>555</v>
      </c>
      <c r="BD135" s="255" t="s">
        <v>138</v>
      </c>
      <c r="BE135" s="350">
        <v>0</v>
      </c>
      <c r="BF135" s="350">
        <v>0</v>
      </c>
      <c r="BG135" s="350">
        <v>-55903000</v>
      </c>
      <c r="BH135" s="350">
        <v>0</v>
      </c>
      <c r="BI135" s="350">
        <v>-55903000</v>
      </c>
      <c r="BX135" s="623"/>
      <c r="BY135" t="s">
        <v>808</v>
      </c>
      <c r="BZ135" t="s">
        <v>809</v>
      </c>
      <c r="CA135">
        <v>1</v>
      </c>
      <c r="CB135">
        <v>1</v>
      </c>
      <c r="CC135" t="s">
        <v>700</v>
      </c>
      <c r="CD135" s="286">
        <v>21320</v>
      </c>
      <c r="CE135" s="296">
        <v>489920</v>
      </c>
      <c r="CF135" s="261">
        <v>17277999</v>
      </c>
      <c r="CG135" s="261">
        <v>9733270</v>
      </c>
      <c r="CH135" s="202">
        <v>4</v>
      </c>
      <c r="CI135" s="261">
        <f t="shared" si="111"/>
        <v>372.51982588160462</v>
      </c>
      <c r="CJ135" s="261">
        <f t="shared" si="112"/>
        <v>182504913.09591573</v>
      </c>
      <c r="CL135">
        <v>5240</v>
      </c>
      <c r="CM135" s="299">
        <v>2019</v>
      </c>
      <c r="CN135" s="299">
        <v>1370</v>
      </c>
      <c r="CO135" s="300" t="s">
        <v>255</v>
      </c>
      <c r="CP135" s="299">
        <v>755</v>
      </c>
      <c r="CQ135" s="299">
        <v>110</v>
      </c>
      <c r="CR135" s="294" t="s">
        <v>358</v>
      </c>
      <c r="CS135" s="294" t="s">
        <v>359</v>
      </c>
      <c r="CT135" s="294" t="s">
        <v>362</v>
      </c>
      <c r="CU135" s="301">
        <v>62606895000</v>
      </c>
      <c r="DB135">
        <f t="shared" si="100"/>
        <v>24</v>
      </c>
      <c r="DC135" s="595" t="s">
        <v>1043</v>
      </c>
      <c r="DD135" s="595" t="s">
        <v>1044</v>
      </c>
      <c r="DE135" s="595" t="s">
        <v>694</v>
      </c>
      <c r="DF135" s="286">
        <v>10824</v>
      </c>
      <c r="DG135" s="286">
        <v>685520</v>
      </c>
      <c r="DH135" s="286">
        <v>12124943</v>
      </c>
      <c r="DI135" s="286">
        <v>12245976.999999998</v>
      </c>
      <c r="DJ135">
        <v>26</v>
      </c>
      <c r="DK135" s="643">
        <f t="shared" si="101"/>
        <v>528.3954317970871</v>
      </c>
      <c r="DL135" s="408">
        <f t="shared" si="102"/>
        <v>362225636.40553916</v>
      </c>
      <c r="DM135" s="286"/>
      <c r="DN135" s="286"/>
      <c r="ED135" s="286">
        <f>SUM(ED129:ED134)</f>
        <v>14094463</v>
      </c>
      <c r="EF135" s="286">
        <f>SUM(EF129:EF134)</f>
        <v>14094463</v>
      </c>
      <c r="EH135" s="286">
        <f>SUM(EH129:EH134)</f>
        <v>14360727.992183806</v>
      </c>
      <c r="EI135" s="286">
        <f>SUM(EI129:EI134)</f>
        <v>28455190.992183805</v>
      </c>
      <c r="EJ135" s="286"/>
      <c r="EK135" s="286"/>
      <c r="EL135" s="596">
        <f>SUM(EL129:EL134)</f>
        <v>1</v>
      </c>
      <c r="FH135">
        <v>37</v>
      </c>
      <c r="FI135" t="s">
        <v>883</v>
      </c>
      <c r="FJ135" t="s">
        <v>884</v>
      </c>
      <c r="FK135" t="s">
        <v>687</v>
      </c>
      <c r="FL135" s="286">
        <v>4364</v>
      </c>
      <c r="FM135" s="286">
        <v>120940</v>
      </c>
      <c r="FN135" s="286">
        <v>9812154.9999999981</v>
      </c>
      <c r="FO135" s="286">
        <v>7530297</v>
      </c>
      <c r="FP135">
        <v>36</v>
      </c>
      <c r="FQ135" s="925">
        <v>7463.6077432689826</v>
      </c>
      <c r="FR135" s="926">
        <v>902648720.47095072</v>
      </c>
      <c r="FS135">
        <v>0</v>
      </c>
    </row>
    <row r="136" spans="1:178" ht="16" customHeight="1">
      <c r="A136">
        <v>2017</v>
      </c>
      <c r="B136">
        <v>1370</v>
      </c>
      <c r="C136" t="s">
        <v>255</v>
      </c>
      <c r="D136" t="s">
        <v>245</v>
      </c>
      <c r="E136" s="203">
        <v>93</v>
      </c>
      <c r="F136" s="203" t="s">
        <v>250</v>
      </c>
      <c r="G136" s="203" t="s">
        <v>247</v>
      </c>
      <c r="H136" s="203" t="s">
        <v>248</v>
      </c>
      <c r="I136" s="202">
        <v>0</v>
      </c>
      <c r="J136" s="202">
        <v>0</v>
      </c>
      <c r="K136" s="202">
        <v>0</v>
      </c>
      <c r="L136" s="253"/>
      <c r="M136" s="254">
        <v>2019</v>
      </c>
      <c r="N136" s="254">
        <v>1550</v>
      </c>
      <c r="O136" s="255" t="s">
        <v>258</v>
      </c>
      <c r="P136" s="254">
        <v>410</v>
      </c>
      <c r="Q136" s="254">
        <v>228</v>
      </c>
      <c r="R136" s="255" t="s">
        <v>36</v>
      </c>
      <c r="S136" s="255" t="s">
        <v>139</v>
      </c>
      <c r="T136" s="350">
        <v>0</v>
      </c>
      <c r="U136" s="350">
        <v>0</v>
      </c>
      <c r="V136" s="350">
        <v>0</v>
      </c>
      <c r="W136" s="350">
        <v>0</v>
      </c>
      <c r="X136" s="350">
        <v>0</v>
      </c>
      <c r="AA136" s="272">
        <v>2019</v>
      </c>
      <c r="AB136" s="272">
        <v>3680</v>
      </c>
      <c r="AC136" s="273" t="s">
        <v>252</v>
      </c>
      <c r="AD136" s="272" t="s">
        <v>489</v>
      </c>
      <c r="AE136" s="272">
        <v>39</v>
      </c>
      <c r="AF136" s="274" t="s">
        <v>390</v>
      </c>
      <c r="AG136" s="272">
        <v>0</v>
      </c>
      <c r="AH136" s="272">
        <v>0</v>
      </c>
      <c r="AI136" s="272">
        <v>0</v>
      </c>
      <c r="AJ136" s="272">
        <v>0</v>
      </c>
      <c r="AK136" s="272">
        <v>0</v>
      </c>
      <c r="AL136" s="352">
        <v>0</v>
      </c>
      <c r="AX136" s="254">
        <v>2019</v>
      </c>
      <c r="AY136" s="254">
        <v>2670</v>
      </c>
      <c r="AZ136" s="255" t="s">
        <v>257</v>
      </c>
      <c r="BA136" s="254">
        <v>410</v>
      </c>
      <c r="BB136" s="254">
        <v>313</v>
      </c>
      <c r="BC136" s="255" t="s">
        <v>555</v>
      </c>
      <c r="BD136" s="255" t="s">
        <v>139</v>
      </c>
      <c r="BE136" s="350">
        <v>0</v>
      </c>
      <c r="BF136" s="350">
        <v>0</v>
      </c>
      <c r="BG136" s="350">
        <v>0</v>
      </c>
      <c r="BH136" s="350">
        <v>0</v>
      </c>
      <c r="BI136" s="350">
        <v>0</v>
      </c>
      <c r="BX136" s="623"/>
      <c r="BY136" t="s">
        <v>1229</v>
      </c>
      <c r="BZ136" t="s">
        <v>1230</v>
      </c>
      <c r="CA136">
        <v>1</v>
      </c>
      <c r="CB136">
        <v>1</v>
      </c>
      <c r="CC136" t="s">
        <v>700</v>
      </c>
      <c r="CD136" s="286">
        <v>1040</v>
      </c>
      <c r="CE136" s="296">
        <v>20680</v>
      </c>
      <c r="CF136" s="261">
        <v>1576760</v>
      </c>
      <c r="CG136" s="261">
        <v>1024317</v>
      </c>
      <c r="CH136" s="202">
        <v>3</v>
      </c>
      <c r="CI136" s="261">
        <f t="shared" si="111"/>
        <v>679.18710494589243</v>
      </c>
      <c r="CJ136" s="261">
        <f t="shared" si="112"/>
        <v>14045589.330281055</v>
      </c>
      <c r="CL136">
        <v>452480</v>
      </c>
      <c r="CM136" s="299">
        <v>2019</v>
      </c>
      <c r="CN136" s="299">
        <v>1370</v>
      </c>
      <c r="CO136" s="300" t="s">
        <v>255</v>
      </c>
      <c r="CP136" s="299">
        <v>755</v>
      </c>
      <c r="CQ136" s="299">
        <v>111</v>
      </c>
      <c r="CR136" s="294" t="s">
        <v>358</v>
      </c>
      <c r="CS136" s="294" t="s">
        <v>363</v>
      </c>
      <c r="CT136" s="294" t="s">
        <v>364</v>
      </c>
      <c r="CU136" s="301">
        <v>664440000</v>
      </c>
      <c r="DB136">
        <f t="shared" si="100"/>
        <v>24</v>
      </c>
      <c r="DC136" s="595" t="s">
        <v>1018</v>
      </c>
      <c r="DD136" s="595" t="s">
        <v>1019</v>
      </c>
      <c r="DE136" s="595" t="s">
        <v>689</v>
      </c>
      <c r="DF136" s="286">
        <v>21788</v>
      </c>
      <c r="DG136" s="286">
        <v>1877176</v>
      </c>
      <c r="DH136" s="286">
        <v>34405504</v>
      </c>
      <c r="DI136" s="286">
        <v>21469179</v>
      </c>
      <c r="DJ136">
        <v>26</v>
      </c>
      <c r="DK136" s="643">
        <f t="shared" si="101"/>
        <v>528.3954317970871</v>
      </c>
      <c r="DL136" s="408">
        <f t="shared" si="102"/>
        <v>991891223.07912874</v>
      </c>
      <c r="DM136" s="286"/>
      <c r="DN136" s="286"/>
      <c r="FH136">
        <v>37</v>
      </c>
      <c r="FI136" t="s">
        <v>885</v>
      </c>
      <c r="FJ136" t="s">
        <v>886</v>
      </c>
      <c r="FK136" t="s">
        <v>687</v>
      </c>
      <c r="FL136" s="286">
        <v>1120</v>
      </c>
      <c r="FM136" s="286">
        <v>86280</v>
      </c>
      <c r="FN136" s="286">
        <v>6515960</v>
      </c>
      <c r="FO136" s="286">
        <v>4757284</v>
      </c>
      <c r="FP136">
        <v>36</v>
      </c>
      <c r="FQ136" s="925">
        <v>7463.6077432689826</v>
      </c>
      <c r="FR136" s="926">
        <v>643960076.08924782</v>
      </c>
      <c r="FS136">
        <v>0</v>
      </c>
    </row>
    <row r="137" spans="1:178" ht="16" customHeight="1">
      <c r="A137">
        <v>2017</v>
      </c>
      <c r="B137">
        <v>1370</v>
      </c>
      <c r="C137" t="s">
        <v>255</v>
      </c>
      <c r="D137" t="s">
        <v>245</v>
      </c>
      <c r="E137" s="203">
        <v>94</v>
      </c>
      <c r="F137" s="203" t="s">
        <v>250</v>
      </c>
      <c r="G137" s="203" t="s">
        <v>247</v>
      </c>
      <c r="H137" s="204" t="s">
        <v>249</v>
      </c>
      <c r="I137" s="202">
        <v>0</v>
      </c>
      <c r="J137" s="202">
        <v>0</v>
      </c>
      <c r="K137" s="202">
        <v>0</v>
      </c>
      <c r="L137" s="253"/>
      <c r="M137" s="254">
        <v>2019</v>
      </c>
      <c r="N137" s="254">
        <v>1550</v>
      </c>
      <c r="O137" s="255" t="s">
        <v>258</v>
      </c>
      <c r="P137" s="254">
        <v>410</v>
      </c>
      <c r="Q137" s="254">
        <v>229</v>
      </c>
      <c r="R137" s="255" t="s">
        <v>36</v>
      </c>
      <c r="S137" s="255" t="s">
        <v>140</v>
      </c>
      <c r="T137" s="350">
        <v>0</v>
      </c>
      <c r="U137" s="350">
        <v>0</v>
      </c>
      <c r="V137" s="350">
        <v>0</v>
      </c>
      <c r="W137" s="350">
        <v>0</v>
      </c>
      <c r="X137" s="350">
        <v>0</v>
      </c>
      <c r="AA137" s="272">
        <v>2019</v>
      </c>
      <c r="AB137" s="272">
        <v>3680</v>
      </c>
      <c r="AC137" s="273" t="s">
        <v>252</v>
      </c>
      <c r="AD137" s="272" t="s">
        <v>489</v>
      </c>
      <c r="AE137" s="272">
        <v>40</v>
      </c>
      <c r="AF137" s="274" t="s">
        <v>391</v>
      </c>
      <c r="AG137" s="272">
        <v>650</v>
      </c>
      <c r="AH137" s="272">
        <v>0</v>
      </c>
      <c r="AI137" s="272">
        <v>655</v>
      </c>
      <c r="AJ137" s="272">
        <v>0</v>
      </c>
      <c r="AK137" s="272">
        <v>69602</v>
      </c>
      <c r="AL137" s="352">
        <v>106.26259541984733</v>
      </c>
      <c r="AX137" s="254">
        <v>2019</v>
      </c>
      <c r="AY137" s="254">
        <v>2670</v>
      </c>
      <c r="AZ137" s="255" t="s">
        <v>257</v>
      </c>
      <c r="BA137" s="254">
        <v>410</v>
      </c>
      <c r="BB137" s="254">
        <v>314</v>
      </c>
      <c r="BC137" s="255" t="s">
        <v>555</v>
      </c>
      <c r="BD137" s="255" t="s">
        <v>140</v>
      </c>
      <c r="BE137" s="350">
        <v>0</v>
      </c>
      <c r="BF137" s="350">
        <v>0</v>
      </c>
      <c r="BG137" s="350">
        <v>0</v>
      </c>
      <c r="BH137" s="350">
        <v>0</v>
      </c>
      <c r="BI137" s="350">
        <v>0</v>
      </c>
      <c r="BX137" s="623"/>
      <c r="BY137" t="s">
        <v>1231</v>
      </c>
      <c r="BZ137" t="s">
        <v>1232</v>
      </c>
      <c r="CA137">
        <v>1</v>
      </c>
      <c r="CB137">
        <v>1</v>
      </c>
      <c r="CC137" t="s">
        <v>700</v>
      </c>
      <c r="CD137" s="286">
        <v>5440</v>
      </c>
      <c r="CE137" s="296">
        <v>78960</v>
      </c>
      <c r="CF137" s="261">
        <v>3731399</v>
      </c>
      <c r="CG137" s="261">
        <v>3814655</v>
      </c>
      <c r="CH137" s="202">
        <v>3</v>
      </c>
      <c r="CI137" s="261">
        <f t="shared" si="111"/>
        <v>679.18710494589243</v>
      </c>
      <c r="CJ137" s="261">
        <f t="shared" si="112"/>
        <v>53628613.806527667</v>
      </c>
      <c r="CL137">
        <v>662680</v>
      </c>
      <c r="CM137" s="299">
        <v>2019</v>
      </c>
      <c r="CN137" s="299">
        <v>1370</v>
      </c>
      <c r="CO137" s="300" t="s">
        <v>255</v>
      </c>
      <c r="CP137" s="299">
        <v>755</v>
      </c>
      <c r="CQ137" s="299">
        <v>112</v>
      </c>
      <c r="CR137" s="294" t="s">
        <v>358</v>
      </c>
      <c r="CS137" s="294" t="s">
        <v>363</v>
      </c>
      <c r="CT137" s="294" t="s">
        <v>365</v>
      </c>
      <c r="CU137" s="301">
        <v>0</v>
      </c>
      <c r="DB137">
        <f t="shared" si="100"/>
        <v>24</v>
      </c>
      <c r="DC137" s="595" t="s">
        <v>1018</v>
      </c>
      <c r="DD137" s="595" t="s">
        <v>1019</v>
      </c>
      <c r="DE137" s="595" t="s">
        <v>697</v>
      </c>
      <c r="DF137" s="286">
        <v>10120</v>
      </c>
      <c r="DG137" s="286">
        <v>879800.00000000012</v>
      </c>
      <c r="DH137" s="286">
        <v>13512239.999999998</v>
      </c>
      <c r="DI137" s="286">
        <v>7838174</v>
      </c>
      <c r="DJ137">
        <v>26</v>
      </c>
      <c r="DK137" s="643">
        <f t="shared" si="101"/>
        <v>528.3954317970871</v>
      </c>
      <c r="DL137" s="408">
        <f t="shared" si="102"/>
        <v>464882300.89507729</v>
      </c>
      <c r="DM137" s="286"/>
      <c r="DN137" s="286"/>
      <c r="FH137">
        <v>40</v>
      </c>
      <c r="FI137" t="s">
        <v>887</v>
      </c>
      <c r="FJ137" t="s">
        <v>888</v>
      </c>
      <c r="FK137" t="s">
        <v>687</v>
      </c>
      <c r="FL137" s="286">
        <v>30980</v>
      </c>
      <c r="FM137" s="286">
        <v>1858156</v>
      </c>
      <c r="FN137" s="286">
        <v>95329406.999999985</v>
      </c>
      <c r="FO137" s="286">
        <v>71993691</v>
      </c>
      <c r="FP137">
        <v>41</v>
      </c>
      <c r="FQ137" s="925">
        <v>143.17663014662168</v>
      </c>
      <c r="FR137" s="926">
        <v>266044514.36672595</v>
      </c>
      <c r="FS137">
        <v>0</v>
      </c>
    </row>
    <row r="138" spans="1:178" ht="16" customHeight="1">
      <c r="A138">
        <v>2017</v>
      </c>
      <c r="B138">
        <v>1370</v>
      </c>
      <c r="C138" t="s">
        <v>255</v>
      </c>
      <c r="D138" t="s">
        <v>245</v>
      </c>
      <c r="E138" s="203">
        <v>97</v>
      </c>
      <c r="F138" s="203" t="s">
        <v>251</v>
      </c>
      <c r="G138" s="203" t="s">
        <v>247</v>
      </c>
      <c r="H138" s="203" t="s">
        <v>248</v>
      </c>
      <c r="I138" s="202">
        <v>0</v>
      </c>
      <c r="J138" s="202">
        <v>0</v>
      </c>
      <c r="K138" s="202">
        <v>0</v>
      </c>
      <c r="L138" s="253"/>
      <c r="M138" s="254">
        <v>2019</v>
      </c>
      <c r="N138" s="254">
        <v>1550</v>
      </c>
      <c r="O138" s="255" t="s">
        <v>258</v>
      </c>
      <c r="P138" s="254">
        <v>410</v>
      </c>
      <c r="Q138" s="254">
        <v>230</v>
      </c>
      <c r="R138" s="255" t="s">
        <v>36</v>
      </c>
      <c r="S138" s="255" t="s">
        <v>141</v>
      </c>
      <c r="T138" s="350">
        <v>0</v>
      </c>
      <c r="U138" s="350">
        <v>0</v>
      </c>
      <c r="V138" s="350">
        <v>486325000</v>
      </c>
      <c r="W138" s="350">
        <v>0</v>
      </c>
      <c r="X138" s="350">
        <v>486325000</v>
      </c>
      <c r="AA138" s="272">
        <v>2019</v>
      </c>
      <c r="AB138" s="272">
        <v>3680</v>
      </c>
      <c r="AC138" s="273" t="s">
        <v>252</v>
      </c>
      <c r="AD138" s="272" t="s">
        <v>489</v>
      </c>
      <c r="AE138" s="272">
        <v>41</v>
      </c>
      <c r="AF138" s="274" t="s">
        <v>392</v>
      </c>
      <c r="AG138" s="272">
        <v>10070</v>
      </c>
      <c r="AH138" s="272">
        <v>376</v>
      </c>
      <c r="AI138" s="272">
        <v>9361</v>
      </c>
      <c r="AJ138" s="272">
        <v>0</v>
      </c>
      <c r="AK138" s="272">
        <v>1044463</v>
      </c>
      <c r="AL138" s="352">
        <v>111.5760068368764</v>
      </c>
      <c r="AX138" s="254">
        <v>2019</v>
      </c>
      <c r="AY138" s="254">
        <v>2670</v>
      </c>
      <c r="AZ138" s="255" t="s">
        <v>257</v>
      </c>
      <c r="BA138" s="254">
        <v>410</v>
      </c>
      <c r="BB138" s="254">
        <v>315</v>
      </c>
      <c r="BC138" s="255" t="s">
        <v>555</v>
      </c>
      <c r="BD138" s="255" t="s">
        <v>141</v>
      </c>
      <c r="BE138" s="350">
        <v>0</v>
      </c>
      <c r="BF138" s="350">
        <v>0</v>
      </c>
      <c r="BG138" s="350">
        <v>23700000</v>
      </c>
      <c r="BH138" s="350">
        <v>0</v>
      </c>
      <c r="BI138" s="350">
        <v>23700000</v>
      </c>
      <c r="BX138" s="623"/>
      <c r="BY138" t="s">
        <v>1233</v>
      </c>
      <c r="BZ138" t="s">
        <v>1234</v>
      </c>
      <c r="CA138">
        <v>1</v>
      </c>
      <c r="CB138">
        <v>1</v>
      </c>
      <c r="CC138" t="s">
        <v>700</v>
      </c>
      <c r="CD138" s="286">
        <v>6840</v>
      </c>
      <c r="CE138" s="296">
        <v>90880</v>
      </c>
      <c r="CF138" s="261">
        <v>12777040</v>
      </c>
      <c r="CG138" s="261">
        <v>6064594</v>
      </c>
      <c r="CH138" s="202">
        <v>3</v>
      </c>
      <c r="CI138" s="261">
        <f t="shared" si="111"/>
        <v>679.18710494589243</v>
      </c>
      <c r="CJ138" s="261">
        <f t="shared" si="112"/>
        <v>61724524.097482704</v>
      </c>
      <c r="CL138">
        <v>3411560</v>
      </c>
      <c r="CM138" s="299">
        <v>2019</v>
      </c>
      <c r="CN138" s="299">
        <v>1370</v>
      </c>
      <c r="CO138" s="300" t="s">
        <v>255</v>
      </c>
      <c r="CP138" s="299">
        <v>755</v>
      </c>
      <c r="CQ138" s="299">
        <v>113</v>
      </c>
      <c r="CR138" s="294" t="s">
        <v>358</v>
      </c>
      <c r="CS138" s="294" t="s">
        <v>363</v>
      </c>
      <c r="CT138" s="294" t="s">
        <v>366</v>
      </c>
      <c r="CU138" s="301">
        <v>664440000</v>
      </c>
      <c r="DB138">
        <f t="shared" si="100"/>
        <v>24</v>
      </c>
      <c r="DC138" s="595" t="s">
        <v>1018</v>
      </c>
      <c r="DD138" s="595" t="s">
        <v>1019</v>
      </c>
      <c r="DE138" s="595" t="s">
        <v>698</v>
      </c>
      <c r="DF138" s="286">
        <v>15584</v>
      </c>
      <c r="DG138" s="286">
        <v>1307896</v>
      </c>
      <c r="DH138" s="286">
        <v>19163440</v>
      </c>
      <c r="DI138" s="286">
        <v>13099463</v>
      </c>
      <c r="DJ138">
        <v>26</v>
      </c>
      <c r="DK138" s="643">
        <f t="shared" si="101"/>
        <v>528.3954317970871</v>
      </c>
      <c r="DL138" s="408">
        <f t="shared" si="102"/>
        <v>691086271.66568303</v>
      </c>
      <c r="DM138" s="286"/>
      <c r="DN138" s="286"/>
      <c r="FL138" s="286">
        <f>SUM(FL94:FL137)</f>
        <v>701196</v>
      </c>
      <c r="FM138" s="286">
        <f>SUM(FM94:FM137)</f>
        <v>52975636</v>
      </c>
      <c r="FN138" s="286"/>
      <c r="FO138" s="286"/>
      <c r="FQ138" s="925">
        <f>FR138/FM138</f>
        <v>1205.1548054529869</v>
      </c>
      <c r="FR138" s="408">
        <f>SUM(FR94:FR137)</f>
        <v>63843842297.328247</v>
      </c>
      <c r="FT138" s="927">
        <f>-1*(PMT($EA$23,$EA$24,FQ138,$EA$25*FQ138)/(365*24))</f>
        <v>0.15611982571096455</v>
      </c>
      <c r="FU138" s="790">
        <f>FT138*FV138</f>
        <v>11.794914773112653</v>
      </c>
      <c r="FV138" s="788">
        <f>FM138/FL138</f>
        <v>75.550396750694532</v>
      </c>
    </row>
    <row r="139" spans="1:178" ht="16" customHeight="1">
      <c r="A139">
        <v>2017</v>
      </c>
      <c r="B139">
        <v>1370</v>
      </c>
      <c r="C139" t="s">
        <v>255</v>
      </c>
      <c r="D139" t="s">
        <v>245</v>
      </c>
      <c r="E139" s="203">
        <v>98</v>
      </c>
      <c r="F139" s="203" t="s">
        <v>251</v>
      </c>
      <c r="G139" s="203" t="s">
        <v>247</v>
      </c>
      <c r="H139" s="204" t="s">
        <v>249</v>
      </c>
      <c r="I139" s="202">
        <v>0</v>
      </c>
      <c r="J139" s="202">
        <v>0</v>
      </c>
      <c r="K139" s="202">
        <v>0</v>
      </c>
      <c r="L139" s="253"/>
      <c r="M139" s="254">
        <v>2019</v>
      </c>
      <c r="N139" s="254">
        <v>1550</v>
      </c>
      <c r="O139" s="255" t="s">
        <v>258</v>
      </c>
      <c r="P139" s="254">
        <v>410</v>
      </c>
      <c r="Q139" s="254">
        <v>231</v>
      </c>
      <c r="R139" s="255" t="s">
        <v>36</v>
      </c>
      <c r="S139" s="255" t="s">
        <v>142</v>
      </c>
      <c r="T139" s="350">
        <v>0</v>
      </c>
      <c r="U139" s="350">
        <v>0</v>
      </c>
      <c r="V139" s="350">
        <v>-212812000</v>
      </c>
      <c r="W139" s="350">
        <v>0</v>
      </c>
      <c r="X139" s="350">
        <v>-212812000</v>
      </c>
      <c r="AA139" s="272">
        <v>2019</v>
      </c>
      <c r="AB139" s="272">
        <v>3680</v>
      </c>
      <c r="AC139" s="273" t="s">
        <v>252</v>
      </c>
      <c r="AD139" s="272" t="s">
        <v>489</v>
      </c>
      <c r="AE139" s="272">
        <v>42</v>
      </c>
      <c r="AF139" s="274" t="s">
        <v>393</v>
      </c>
      <c r="AG139" s="272">
        <v>214</v>
      </c>
      <c r="AH139" s="272">
        <v>0</v>
      </c>
      <c r="AI139" s="272">
        <v>94</v>
      </c>
      <c r="AJ139" s="272">
        <v>0</v>
      </c>
      <c r="AK139" s="272">
        <v>9516</v>
      </c>
      <c r="AL139" s="352">
        <v>101.23404255319149</v>
      </c>
      <c r="AX139" s="254">
        <v>2019</v>
      </c>
      <c r="AY139" s="254">
        <v>2670</v>
      </c>
      <c r="AZ139" s="255" t="s">
        <v>257</v>
      </c>
      <c r="BA139" s="254">
        <v>410</v>
      </c>
      <c r="BB139" s="254">
        <v>316</v>
      </c>
      <c r="BC139" s="255" t="s">
        <v>555</v>
      </c>
      <c r="BD139" s="255" t="s">
        <v>142</v>
      </c>
      <c r="BE139" s="350">
        <v>0</v>
      </c>
      <c r="BF139" s="350">
        <v>0</v>
      </c>
      <c r="BG139" s="350">
        <v>0</v>
      </c>
      <c r="BH139" s="350">
        <v>0</v>
      </c>
      <c r="BI139" s="350">
        <v>0</v>
      </c>
      <c r="BX139" s="623"/>
      <c r="BY139" t="s">
        <v>1235</v>
      </c>
      <c r="BZ139" t="s">
        <v>1236</v>
      </c>
      <c r="CA139">
        <v>1</v>
      </c>
      <c r="CB139">
        <v>1</v>
      </c>
      <c r="CC139" t="s">
        <v>700</v>
      </c>
      <c r="CD139" s="286">
        <v>360</v>
      </c>
      <c r="CE139" s="296">
        <v>6560</v>
      </c>
      <c r="CF139" s="261">
        <v>466040</v>
      </c>
      <c r="CG139" s="261">
        <v>334173</v>
      </c>
      <c r="CH139" s="202">
        <v>7</v>
      </c>
      <c r="CI139" s="261">
        <f t="shared" si="111"/>
        <v>1047.1475692534934</v>
      </c>
      <c r="CJ139" s="261">
        <f t="shared" si="112"/>
        <v>6869288.0543029169</v>
      </c>
      <c r="CL139">
        <v>529560</v>
      </c>
      <c r="CM139" s="299">
        <v>2019</v>
      </c>
      <c r="CN139" s="299">
        <v>1370</v>
      </c>
      <c r="CO139" s="300" t="s">
        <v>255</v>
      </c>
      <c r="CP139" s="299">
        <v>755</v>
      </c>
      <c r="CQ139" s="299">
        <v>114</v>
      </c>
      <c r="CR139" s="294" t="s">
        <v>358</v>
      </c>
      <c r="CS139" s="294" t="s">
        <v>367</v>
      </c>
      <c r="CT139" s="294" t="s">
        <v>368</v>
      </c>
      <c r="CU139" s="301">
        <v>63271335000</v>
      </c>
      <c r="DB139">
        <f t="shared" si="100"/>
        <v>24</v>
      </c>
      <c r="DC139" s="595" t="s">
        <v>969</v>
      </c>
      <c r="DD139" s="595" t="s">
        <v>970</v>
      </c>
      <c r="DE139" s="595" t="s">
        <v>690</v>
      </c>
      <c r="DF139" s="286">
        <v>2612</v>
      </c>
      <c r="DG139" s="286">
        <v>271256</v>
      </c>
      <c r="DH139" s="286">
        <v>3578201</v>
      </c>
      <c r="DI139" s="286">
        <v>2824063</v>
      </c>
      <c r="DJ139">
        <v>26</v>
      </c>
      <c r="DK139" s="643">
        <f t="shared" si="101"/>
        <v>528.3954317970871</v>
      </c>
      <c r="DL139" s="408">
        <f t="shared" si="102"/>
        <v>143330431.24755067</v>
      </c>
      <c r="DM139" s="286"/>
      <c r="DN139" s="286"/>
      <c r="FL139" s="286"/>
      <c r="FM139" s="286"/>
      <c r="FN139" s="286"/>
      <c r="FO139" s="286"/>
      <c r="FQ139" s="925"/>
      <c r="FR139" s="926"/>
    </row>
    <row r="140" spans="1:178" ht="16" customHeight="1">
      <c r="A140">
        <v>2017</v>
      </c>
      <c r="B140">
        <v>2670</v>
      </c>
      <c r="C140" t="s">
        <v>257</v>
      </c>
      <c r="D140" t="s">
        <v>245</v>
      </c>
      <c r="E140" s="203">
        <v>91</v>
      </c>
      <c r="F140" s="203" t="s">
        <v>246</v>
      </c>
      <c r="G140" s="203" t="s">
        <v>247</v>
      </c>
      <c r="H140" s="203" t="s">
        <v>248</v>
      </c>
      <c r="I140" s="202">
        <v>0</v>
      </c>
      <c r="J140" s="202">
        <v>0</v>
      </c>
      <c r="K140" s="202">
        <v>0</v>
      </c>
      <c r="L140" s="253"/>
      <c r="M140" s="254">
        <v>2019</v>
      </c>
      <c r="N140" s="254">
        <v>1550</v>
      </c>
      <c r="O140" s="255" t="s">
        <v>258</v>
      </c>
      <c r="P140" s="254">
        <v>410</v>
      </c>
      <c r="Q140" s="254">
        <v>232</v>
      </c>
      <c r="R140" s="255" t="s">
        <v>36</v>
      </c>
      <c r="S140" s="255" t="s">
        <v>145</v>
      </c>
      <c r="T140" s="350">
        <v>0</v>
      </c>
      <c r="U140" s="350">
        <v>0</v>
      </c>
      <c r="V140" s="350">
        <v>0</v>
      </c>
      <c r="W140" s="350">
        <v>50164000</v>
      </c>
      <c r="X140" s="350">
        <v>50164000</v>
      </c>
      <c r="AA140" s="272">
        <v>2019</v>
      </c>
      <c r="AB140" s="272">
        <v>3680</v>
      </c>
      <c r="AC140" s="273" t="s">
        <v>252</v>
      </c>
      <c r="AD140" s="272" t="s">
        <v>489</v>
      </c>
      <c r="AE140" s="272">
        <v>43</v>
      </c>
      <c r="AF140" s="274" t="s">
        <v>394</v>
      </c>
      <c r="AG140" s="272">
        <v>0</v>
      </c>
      <c r="AH140" s="272">
        <v>0</v>
      </c>
      <c r="AI140" s="272">
        <v>0</v>
      </c>
      <c r="AJ140" s="272">
        <v>0</v>
      </c>
      <c r="AK140" s="272">
        <v>0</v>
      </c>
      <c r="AL140" s="352">
        <v>0</v>
      </c>
      <c r="AX140" s="254">
        <v>2019</v>
      </c>
      <c r="AY140" s="254">
        <v>2670</v>
      </c>
      <c r="AZ140" s="255" t="s">
        <v>257</v>
      </c>
      <c r="BA140" s="254">
        <v>410</v>
      </c>
      <c r="BB140" s="254">
        <v>317</v>
      </c>
      <c r="BC140" s="255" t="s">
        <v>555</v>
      </c>
      <c r="BD140" s="255" t="s">
        <v>145</v>
      </c>
      <c r="BE140" s="350">
        <v>0</v>
      </c>
      <c r="BF140" s="350">
        <v>0</v>
      </c>
      <c r="BG140" s="350">
        <v>0</v>
      </c>
      <c r="BH140" s="350">
        <v>67178000</v>
      </c>
      <c r="BI140" s="350">
        <v>67178000</v>
      </c>
      <c r="BX140" s="623"/>
      <c r="BY140" t="s">
        <v>1237</v>
      </c>
      <c r="BZ140" t="s">
        <v>1238</v>
      </c>
      <c r="CA140">
        <v>1</v>
      </c>
      <c r="CB140">
        <v>1</v>
      </c>
      <c r="CC140" t="s">
        <v>700</v>
      </c>
      <c r="CD140" s="286">
        <v>5720</v>
      </c>
      <c r="CE140" s="296">
        <v>113240</v>
      </c>
      <c r="CF140" s="261">
        <v>6188087</v>
      </c>
      <c r="CG140" s="261">
        <v>5497597</v>
      </c>
      <c r="CH140" s="202">
        <v>3</v>
      </c>
      <c r="CI140" s="261">
        <f t="shared" si="111"/>
        <v>679.18710494589243</v>
      </c>
      <c r="CJ140" s="261">
        <f t="shared" si="112"/>
        <v>76911147.764072865</v>
      </c>
      <c r="CL140">
        <v>834840</v>
      </c>
      <c r="CM140" s="299">
        <v>2019</v>
      </c>
      <c r="CN140" s="299">
        <v>1370</v>
      </c>
      <c r="CO140" s="300" t="s">
        <v>255</v>
      </c>
      <c r="CP140" s="299">
        <v>755</v>
      </c>
      <c r="CQ140" s="299">
        <v>115</v>
      </c>
      <c r="CR140" s="294" t="s">
        <v>369</v>
      </c>
      <c r="CS140" s="294" t="s">
        <v>370</v>
      </c>
      <c r="CT140" s="294" t="s">
        <v>371</v>
      </c>
      <c r="CU140" s="301">
        <v>833288</v>
      </c>
      <c r="DB140">
        <f t="shared" si="100"/>
        <v>24</v>
      </c>
      <c r="DC140" s="595" t="s">
        <v>1045</v>
      </c>
      <c r="DD140" s="595" t="s">
        <v>1046</v>
      </c>
      <c r="DE140" s="595" t="s">
        <v>694</v>
      </c>
      <c r="DF140" s="286">
        <v>224520</v>
      </c>
      <c r="DG140" s="286">
        <v>21159000</v>
      </c>
      <c r="DH140" s="286">
        <v>1166617014</v>
      </c>
      <c r="DI140" s="286">
        <v>799441161</v>
      </c>
      <c r="DJ140">
        <v>26</v>
      </c>
      <c r="DK140" s="643">
        <f t="shared" si="101"/>
        <v>528.3954317970871</v>
      </c>
      <c r="DL140" s="408">
        <f t="shared" si="102"/>
        <v>11180318941.394566</v>
      </c>
      <c r="DM140" s="286"/>
      <c r="DN140" s="286"/>
      <c r="FH140">
        <v>1</v>
      </c>
      <c r="FI140" t="s">
        <v>810</v>
      </c>
      <c r="FJ140" t="s">
        <v>811</v>
      </c>
      <c r="FK140" t="s">
        <v>686</v>
      </c>
      <c r="FL140" s="286">
        <v>440</v>
      </c>
      <c r="FM140" s="286">
        <v>40160</v>
      </c>
      <c r="FN140" s="286">
        <v>2728000</v>
      </c>
      <c r="FO140" s="286">
        <v>2174323</v>
      </c>
      <c r="FP140">
        <v>3</v>
      </c>
      <c r="FQ140" s="925">
        <v>679.18710494589243</v>
      </c>
      <c r="FR140" s="926">
        <v>27276154.13462704</v>
      </c>
      <c r="FS140">
        <v>0</v>
      </c>
    </row>
    <row r="141" spans="1:178" ht="16" customHeight="1">
      <c r="A141">
        <v>2017</v>
      </c>
      <c r="B141">
        <v>2670</v>
      </c>
      <c r="C141" t="s">
        <v>257</v>
      </c>
      <c r="D141" t="s">
        <v>245</v>
      </c>
      <c r="E141" s="203">
        <v>92</v>
      </c>
      <c r="F141" s="203" t="s">
        <v>246</v>
      </c>
      <c r="G141" s="203" t="s">
        <v>247</v>
      </c>
      <c r="H141" s="204" t="s">
        <v>249</v>
      </c>
      <c r="I141" s="202">
        <v>0</v>
      </c>
      <c r="J141" s="202">
        <v>0</v>
      </c>
      <c r="K141" s="202">
        <v>0</v>
      </c>
      <c r="L141" s="253"/>
      <c r="M141" s="254">
        <v>2019</v>
      </c>
      <c r="N141" s="254">
        <v>1550</v>
      </c>
      <c r="O141" s="255" t="s">
        <v>258</v>
      </c>
      <c r="P141" s="254">
        <v>410</v>
      </c>
      <c r="Q141" s="254">
        <v>233</v>
      </c>
      <c r="R141" s="255" t="s">
        <v>36</v>
      </c>
      <c r="S141" s="255" t="s">
        <v>152</v>
      </c>
      <c r="T141" s="350">
        <v>0</v>
      </c>
      <c r="U141" s="350">
        <v>0</v>
      </c>
      <c r="V141" s="350">
        <v>0</v>
      </c>
      <c r="W141" s="350">
        <v>0</v>
      </c>
      <c r="X141" s="350">
        <v>0</v>
      </c>
      <c r="AA141" s="272">
        <v>2019</v>
      </c>
      <c r="AB141" s="272">
        <v>3680</v>
      </c>
      <c r="AC141" s="273" t="s">
        <v>252</v>
      </c>
      <c r="AD141" s="272" t="s">
        <v>489</v>
      </c>
      <c r="AE141" s="272">
        <v>44</v>
      </c>
      <c r="AF141" s="274" t="s">
        <v>395</v>
      </c>
      <c r="AG141" s="272">
        <v>0</v>
      </c>
      <c r="AH141" s="272">
        <v>0</v>
      </c>
      <c r="AI141" s="272">
        <v>0</v>
      </c>
      <c r="AJ141" s="272">
        <v>0</v>
      </c>
      <c r="AK141" s="272">
        <v>0</v>
      </c>
      <c r="AL141" s="352">
        <v>0</v>
      </c>
      <c r="AX141" s="254">
        <v>2019</v>
      </c>
      <c r="AY141" s="254">
        <v>2670</v>
      </c>
      <c r="AZ141" s="255" t="s">
        <v>257</v>
      </c>
      <c r="BA141" s="254">
        <v>410</v>
      </c>
      <c r="BB141" s="254">
        <v>318</v>
      </c>
      <c r="BC141" s="255" t="s">
        <v>555</v>
      </c>
      <c r="BD141" s="255" t="s">
        <v>152</v>
      </c>
      <c r="BE141" s="350">
        <v>0</v>
      </c>
      <c r="BF141" s="350">
        <v>0</v>
      </c>
      <c r="BG141" s="350">
        <v>0</v>
      </c>
      <c r="BH141" s="350">
        <v>0</v>
      </c>
      <c r="BI141" s="350">
        <v>0</v>
      </c>
      <c r="BX141" s="623"/>
      <c r="BY141" t="s">
        <v>1239</v>
      </c>
      <c r="BZ141" t="s">
        <v>1240</v>
      </c>
      <c r="CA141">
        <v>1</v>
      </c>
      <c r="CB141">
        <v>1</v>
      </c>
      <c r="CC141" t="s">
        <v>700</v>
      </c>
      <c r="CD141" s="286">
        <v>720</v>
      </c>
      <c r="CE141" s="296">
        <v>14880</v>
      </c>
      <c r="CF141" s="261">
        <v>1103320</v>
      </c>
      <c r="CG141" s="261">
        <v>795781</v>
      </c>
      <c r="CH141" s="202">
        <v>5</v>
      </c>
      <c r="CI141" s="261">
        <f t="shared" si="111"/>
        <v>3558.1300539715367</v>
      </c>
      <c r="CJ141" s="261">
        <f t="shared" si="112"/>
        <v>52944975.203096464</v>
      </c>
      <c r="CL141">
        <v>15000</v>
      </c>
      <c r="CM141" s="299">
        <v>2019</v>
      </c>
      <c r="CN141" s="299">
        <v>1370</v>
      </c>
      <c r="CO141" s="300" t="s">
        <v>255</v>
      </c>
      <c r="CP141" s="299">
        <v>755</v>
      </c>
      <c r="CQ141" s="299">
        <v>116</v>
      </c>
      <c r="CR141" s="294" t="s">
        <v>369</v>
      </c>
      <c r="CS141" s="294" t="s">
        <v>372</v>
      </c>
      <c r="CT141" s="294" t="s">
        <v>373</v>
      </c>
      <c r="CU141" s="301">
        <v>236890</v>
      </c>
      <c r="DB141">
        <f t="shared" si="100"/>
        <v>24</v>
      </c>
      <c r="DC141" s="595" t="s">
        <v>1047</v>
      </c>
      <c r="DD141" s="595" t="s">
        <v>1048</v>
      </c>
      <c r="DE141" s="595" t="s">
        <v>694</v>
      </c>
      <c r="DF141" s="286">
        <v>1000</v>
      </c>
      <c r="DG141" s="286">
        <v>95120</v>
      </c>
      <c r="DH141" s="286">
        <v>4311080</v>
      </c>
      <c r="DI141" s="286">
        <v>2618533</v>
      </c>
      <c r="DJ141">
        <v>26</v>
      </c>
      <c r="DK141" s="643">
        <f t="shared" si="101"/>
        <v>528.3954317970871</v>
      </c>
      <c r="DL141" s="408">
        <f t="shared" si="102"/>
        <v>50260973.472538926</v>
      </c>
      <c r="DM141" s="286"/>
      <c r="DN141" s="286"/>
      <c r="FH141">
        <v>20</v>
      </c>
      <c r="FI141" t="s">
        <v>816</v>
      </c>
      <c r="FJ141" t="s">
        <v>817</v>
      </c>
      <c r="FK141" t="s">
        <v>686</v>
      </c>
      <c r="FL141" s="286">
        <v>3000</v>
      </c>
      <c r="FM141" s="286">
        <v>217160</v>
      </c>
      <c r="FN141" s="286">
        <v>21148199.999999996</v>
      </c>
      <c r="FO141" s="286">
        <v>17437122</v>
      </c>
      <c r="FP141">
        <v>7</v>
      </c>
      <c r="FQ141" s="925">
        <v>1047.1475692534934</v>
      </c>
      <c r="FR141" s="926">
        <v>227398566.13908863</v>
      </c>
      <c r="FS141">
        <v>0</v>
      </c>
    </row>
    <row r="142" spans="1:178" ht="16" customHeight="1">
      <c r="A142">
        <v>2017</v>
      </c>
      <c r="B142">
        <v>2670</v>
      </c>
      <c r="C142" t="s">
        <v>257</v>
      </c>
      <c r="D142" t="s">
        <v>245</v>
      </c>
      <c r="E142" s="203">
        <v>93</v>
      </c>
      <c r="F142" s="203" t="s">
        <v>250</v>
      </c>
      <c r="G142" s="203" t="s">
        <v>247</v>
      </c>
      <c r="H142" s="203" t="s">
        <v>248</v>
      </c>
      <c r="I142" s="202">
        <v>0</v>
      </c>
      <c r="J142" s="202">
        <v>0</v>
      </c>
      <c r="K142" s="202">
        <v>0</v>
      </c>
      <c r="L142" s="253"/>
      <c r="M142" s="254">
        <v>2019</v>
      </c>
      <c r="N142" s="254">
        <v>1550</v>
      </c>
      <c r="O142" s="255" t="s">
        <v>258</v>
      </c>
      <c r="P142" s="254">
        <v>410</v>
      </c>
      <c r="Q142" s="254">
        <v>234</v>
      </c>
      <c r="R142" s="255" t="s">
        <v>36</v>
      </c>
      <c r="S142" s="255" t="s">
        <v>153</v>
      </c>
      <c r="T142" s="350">
        <v>0</v>
      </c>
      <c r="U142" s="350">
        <v>0</v>
      </c>
      <c r="V142" s="350">
        <v>0</v>
      </c>
      <c r="W142" s="350">
        <v>0</v>
      </c>
      <c r="X142" s="350">
        <v>0</v>
      </c>
      <c r="AA142" s="272">
        <v>2019</v>
      </c>
      <c r="AB142" s="272">
        <v>3680</v>
      </c>
      <c r="AC142" s="273" t="s">
        <v>252</v>
      </c>
      <c r="AD142" s="272" t="s">
        <v>489</v>
      </c>
      <c r="AE142" s="272">
        <v>45</v>
      </c>
      <c r="AF142" s="274" t="s">
        <v>396</v>
      </c>
      <c r="AG142" s="272">
        <v>0</v>
      </c>
      <c r="AH142" s="272">
        <v>0</v>
      </c>
      <c r="AI142" s="272">
        <v>0</v>
      </c>
      <c r="AJ142" s="272">
        <v>0</v>
      </c>
      <c r="AK142" s="272">
        <v>0</v>
      </c>
      <c r="AL142" s="352">
        <v>0</v>
      </c>
      <c r="AX142" s="254">
        <v>2019</v>
      </c>
      <c r="AY142" s="254">
        <v>2670</v>
      </c>
      <c r="AZ142" s="255" t="s">
        <v>257</v>
      </c>
      <c r="BA142" s="254">
        <v>410</v>
      </c>
      <c r="BB142" s="254">
        <v>319</v>
      </c>
      <c r="BC142" s="255" t="s">
        <v>555</v>
      </c>
      <c r="BD142" s="255" t="s">
        <v>153</v>
      </c>
      <c r="BE142" s="350">
        <v>0</v>
      </c>
      <c r="BF142" s="350">
        <v>0</v>
      </c>
      <c r="BG142" s="350">
        <v>0</v>
      </c>
      <c r="BH142" s="350">
        <v>0</v>
      </c>
      <c r="BI142" s="350">
        <v>0</v>
      </c>
      <c r="BX142" s="623"/>
      <c r="BY142" t="s">
        <v>1241</v>
      </c>
      <c r="BZ142" t="s">
        <v>1242</v>
      </c>
      <c r="CA142">
        <v>1</v>
      </c>
      <c r="CB142">
        <v>1</v>
      </c>
      <c r="CC142" t="s">
        <v>700</v>
      </c>
      <c r="CD142" s="286">
        <v>520</v>
      </c>
      <c r="CE142" s="296">
        <v>9680</v>
      </c>
      <c r="CF142" s="261">
        <v>740240</v>
      </c>
      <c r="CG142" s="261">
        <v>521419</v>
      </c>
      <c r="CH142" s="202">
        <v>5</v>
      </c>
      <c r="CI142" s="261">
        <f t="shared" si="111"/>
        <v>3558.1300539715367</v>
      </c>
      <c r="CJ142" s="261">
        <f t="shared" si="112"/>
        <v>34442698.922444478</v>
      </c>
      <c r="CL142">
        <v>2502280</v>
      </c>
      <c r="CM142" s="299">
        <v>2019</v>
      </c>
      <c r="CN142" s="299">
        <v>1370</v>
      </c>
      <c r="CO142" s="300" t="s">
        <v>255</v>
      </c>
      <c r="CP142" s="299">
        <v>755</v>
      </c>
      <c r="CQ142" s="299">
        <v>117</v>
      </c>
      <c r="CR142" s="294" t="s">
        <v>374</v>
      </c>
      <c r="CS142" s="294" t="s">
        <v>375</v>
      </c>
      <c r="CT142" s="294" t="s">
        <v>376</v>
      </c>
      <c r="CU142" s="301">
        <v>358734</v>
      </c>
      <c r="DB142">
        <f t="shared" si="100"/>
        <v>24</v>
      </c>
      <c r="DC142" s="595" t="s">
        <v>834</v>
      </c>
      <c r="DD142" s="595" t="s">
        <v>835</v>
      </c>
      <c r="DE142" s="595" t="s">
        <v>687</v>
      </c>
      <c r="DF142" s="286">
        <v>26160</v>
      </c>
      <c r="DG142" s="286">
        <v>2373520</v>
      </c>
      <c r="DH142" s="286">
        <v>144497412</v>
      </c>
      <c r="DI142" s="286">
        <v>89777233</v>
      </c>
      <c r="DJ142">
        <v>26</v>
      </c>
      <c r="DK142" s="643">
        <f t="shared" si="101"/>
        <v>528.3954317970871</v>
      </c>
      <c r="DL142" s="408">
        <f t="shared" si="102"/>
        <v>1254157125.2790222</v>
      </c>
      <c r="DM142" s="286"/>
      <c r="DN142" s="286"/>
      <c r="FH142">
        <v>20</v>
      </c>
      <c r="FI142" t="s">
        <v>826</v>
      </c>
      <c r="FJ142" t="s">
        <v>827</v>
      </c>
      <c r="FK142" t="s">
        <v>686</v>
      </c>
      <c r="FL142" s="286">
        <v>1040</v>
      </c>
      <c r="FM142" s="286">
        <v>86880</v>
      </c>
      <c r="FN142" s="286">
        <v>6585782</v>
      </c>
      <c r="FO142" s="286">
        <v>4622119</v>
      </c>
      <c r="FP142">
        <v>7</v>
      </c>
      <c r="FQ142" s="925">
        <v>1047.1475692534934</v>
      </c>
      <c r="FR142" s="926">
        <v>90976180.816743508</v>
      </c>
      <c r="FS142">
        <v>0</v>
      </c>
    </row>
    <row r="143" spans="1:178" ht="16" customHeight="1">
      <c r="A143">
        <v>2017</v>
      </c>
      <c r="B143">
        <v>2670</v>
      </c>
      <c r="C143" t="s">
        <v>257</v>
      </c>
      <c r="D143" t="s">
        <v>245</v>
      </c>
      <c r="E143" s="203">
        <v>94</v>
      </c>
      <c r="F143" s="203" t="s">
        <v>250</v>
      </c>
      <c r="G143" s="203" t="s">
        <v>247</v>
      </c>
      <c r="H143" s="204" t="s">
        <v>249</v>
      </c>
      <c r="I143" s="202">
        <v>0</v>
      </c>
      <c r="J143" s="202">
        <v>0</v>
      </c>
      <c r="K143" s="202">
        <v>0</v>
      </c>
      <c r="L143" s="253"/>
      <c r="M143" s="254">
        <v>2019</v>
      </c>
      <c r="N143" s="254">
        <v>1550</v>
      </c>
      <c r="O143" s="255" t="s">
        <v>258</v>
      </c>
      <c r="P143" s="254">
        <v>410</v>
      </c>
      <c r="Q143" s="254">
        <v>235</v>
      </c>
      <c r="R143" s="255" t="s">
        <v>36</v>
      </c>
      <c r="S143" s="255" t="s">
        <v>202</v>
      </c>
      <c r="T143" s="350">
        <v>0</v>
      </c>
      <c r="U143" s="350">
        <v>0</v>
      </c>
      <c r="V143" s="350">
        <v>-60847000</v>
      </c>
      <c r="W143" s="350">
        <v>0</v>
      </c>
      <c r="X143" s="350">
        <v>-60847000</v>
      </c>
      <c r="AA143" s="272">
        <v>2019</v>
      </c>
      <c r="AB143" s="272">
        <v>3680</v>
      </c>
      <c r="AC143" s="273" t="s">
        <v>252</v>
      </c>
      <c r="AD143" s="272" t="s">
        <v>489</v>
      </c>
      <c r="AE143" s="272">
        <v>46</v>
      </c>
      <c r="AF143" s="274" t="s">
        <v>397</v>
      </c>
      <c r="AG143" s="272">
        <v>0</v>
      </c>
      <c r="AH143" s="272">
        <v>0</v>
      </c>
      <c r="AI143" s="272">
        <v>0</v>
      </c>
      <c r="AJ143" s="272">
        <v>0</v>
      </c>
      <c r="AK143" s="272">
        <v>0</v>
      </c>
      <c r="AL143" s="352">
        <v>0</v>
      </c>
      <c r="AX143" s="254">
        <v>2019</v>
      </c>
      <c r="AY143" s="254">
        <v>2670</v>
      </c>
      <c r="AZ143" s="255" t="s">
        <v>257</v>
      </c>
      <c r="BA143" s="254">
        <v>410</v>
      </c>
      <c r="BB143" s="254">
        <v>320</v>
      </c>
      <c r="BC143" s="255" t="s">
        <v>555</v>
      </c>
      <c r="BD143" s="255" t="s">
        <v>202</v>
      </c>
      <c r="BE143" s="350">
        <v>0</v>
      </c>
      <c r="BF143" s="350">
        <v>0</v>
      </c>
      <c r="BG143" s="350">
        <v>0</v>
      </c>
      <c r="BH143" s="350">
        <v>0</v>
      </c>
      <c r="BI143" s="350">
        <v>0</v>
      </c>
      <c r="BX143" s="623"/>
      <c r="BY143" t="s">
        <v>1016</v>
      </c>
      <c r="BZ143" t="s">
        <v>1017</v>
      </c>
      <c r="CA143">
        <v>1</v>
      </c>
      <c r="CB143">
        <v>1</v>
      </c>
      <c r="CC143" t="s">
        <v>700</v>
      </c>
      <c r="CD143" s="286">
        <v>5000</v>
      </c>
      <c r="CE143" s="296">
        <v>88960</v>
      </c>
      <c r="CF143" s="261">
        <v>4751518</v>
      </c>
      <c r="CG143" s="261">
        <v>4660475</v>
      </c>
      <c r="CH143" s="202">
        <v>12</v>
      </c>
      <c r="CI143" s="261">
        <f t="shared" si="111"/>
        <v>12.148631154247422</v>
      </c>
      <c r="CJ143" s="261">
        <f t="shared" si="112"/>
        <v>1080742.2274818507</v>
      </c>
      <c r="CL143">
        <v>559360</v>
      </c>
      <c r="CM143" s="299">
        <v>2019</v>
      </c>
      <c r="CN143" s="299">
        <v>1370</v>
      </c>
      <c r="CO143" s="300" t="s">
        <v>255</v>
      </c>
      <c r="CP143" s="299">
        <v>755</v>
      </c>
      <c r="CQ143" s="299">
        <v>118</v>
      </c>
      <c r="CR143" s="294" t="s">
        <v>417</v>
      </c>
      <c r="CS143" s="294" t="s">
        <v>418</v>
      </c>
      <c r="CT143" s="294" t="s">
        <v>419</v>
      </c>
      <c r="CU143" s="301">
        <v>50711</v>
      </c>
      <c r="DB143">
        <f t="shared" si="100"/>
        <v>24</v>
      </c>
      <c r="DC143" s="595" t="s">
        <v>834</v>
      </c>
      <c r="DD143" s="595" t="s">
        <v>835</v>
      </c>
      <c r="DE143" s="595" t="s">
        <v>686</v>
      </c>
      <c r="DF143" s="286">
        <v>1360</v>
      </c>
      <c r="DG143" s="286">
        <v>116120</v>
      </c>
      <c r="DH143" s="286">
        <v>8060120</v>
      </c>
      <c r="DI143" s="286">
        <v>5753501</v>
      </c>
      <c r="DJ143">
        <v>26</v>
      </c>
      <c r="DK143" s="643">
        <f t="shared" si="101"/>
        <v>528.3954317970871</v>
      </c>
      <c r="DL143" s="408">
        <f t="shared" si="102"/>
        <v>61357277.540277757</v>
      </c>
      <c r="DM143" s="286"/>
      <c r="DN143" s="286"/>
      <c r="FH143">
        <v>20</v>
      </c>
      <c r="FI143" t="s">
        <v>832</v>
      </c>
      <c r="FJ143" t="s">
        <v>833</v>
      </c>
      <c r="FK143" t="s">
        <v>686</v>
      </c>
      <c r="FL143" s="286">
        <v>320</v>
      </c>
      <c r="FM143" s="286">
        <v>28560</v>
      </c>
      <c r="FN143" s="286">
        <v>2432640</v>
      </c>
      <c r="FO143" s="286">
        <v>1934714</v>
      </c>
      <c r="FP143">
        <v>7</v>
      </c>
      <c r="FQ143" s="925">
        <v>1047.1475692534934</v>
      </c>
      <c r="FR143" s="926">
        <v>29906534.577879772</v>
      </c>
      <c r="FS143">
        <v>0</v>
      </c>
    </row>
    <row r="144" spans="1:178" ht="16" customHeight="1">
      <c r="A144">
        <v>2017</v>
      </c>
      <c r="B144">
        <v>2670</v>
      </c>
      <c r="C144" t="s">
        <v>257</v>
      </c>
      <c r="D144" t="s">
        <v>245</v>
      </c>
      <c r="E144" s="203">
        <v>97</v>
      </c>
      <c r="F144" s="203" t="s">
        <v>251</v>
      </c>
      <c r="G144" s="203" t="s">
        <v>247</v>
      </c>
      <c r="H144" s="203" t="s">
        <v>248</v>
      </c>
      <c r="I144" s="202">
        <v>0</v>
      </c>
      <c r="J144" s="202">
        <v>0</v>
      </c>
      <c r="K144" s="202">
        <v>0</v>
      </c>
      <c r="L144" s="253"/>
      <c r="M144" s="254">
        <v>2019</v>
      </c>
      <c r="N144" s="254">
        <v>1550</v>
      </c>
      <c r="O144" s="255" t="s">
        <v>258</v>
      </c>
      <c r="P144" s="254">
        <v>410</v>
      </c>
      <c r="Q144" s="254">
        <v>236</v>
      </c>
      <c r="R144" s="255" t="s">
        <v>36</v>
      </c>
      <c r="S144" s="255" t="s">
        <v>156</v>
      </c>
      <c r="T144" s="350">
        <v>0</v>
      </c>
      <c r="U144" s="350">
        <v>0</v>
      </c>
      <c r="V144" s="350">
        <v>0</v>
      </c>
      <c r="W144" s="350">
        <v>0</v>
      </c>
      <c r="X144" s="350">
        <v>0</v>
      </c>
      <c r="AA144" s="272">
        <v>2019</v>
      </c>
      <c r="AB144" s="272">
        <v>3680</v>
      </c>
      <c r="AC144" s="273" t="s">
        <v>252</v>
      </c>
      <c r="AD144" s="272" t="s">
        <v>489</v>
      </c>
      <c r="AE144" s="272">
        <v>47</v>
      </c>
      <c r="AF144" s="274" t="s">
        <v>398</v>
      </c>
      <c r="AG144" s="272">
        <v>675</v>
      </c>
      <c r="AH144" s="272">
        <v>0</v>
      </c>
      <c r="AI144" s="272">
        <v>655</v>
      </c>
      <c r="AJ144" s="272">
        <v>0</v>
      </c>
      <c r="AK144" s="272">
        <v>25550</v>
      </c>
      <c r="AL144" s="352">
        <v>39.007633587786259</v>
      </c>
      <c r="AX144" s="254">
        <v>2019</v>
      </c>
      <c r="AY144" s="254">
        <v>2670</v>
      </c>
      <c r="AZ144" s="255" t="s">
        <v>257</v>
      </c>
      <c r="BA144" s="254">
        <v>410</v>
      </c>
      <c r="BB144" s="254">
        <v>321</v>
      </c>
      <c r="BC144" s="255" t="s">
        <v>555</v>
      </c>
      <c r="BD144" s="255" t="s">
        <v>156</v>
      </c>
      <c r="BE144" s="350">
        <v>0</v>
      </c>
      <c r="BF144" s="350">
        <v>0</v>
      </c>
      <c r="BG144" s="350">
        <v>0</v>
      </c>
      <c r="BH144" s="350">
        <v>0</v>
      </c>
      <c r="BI144" s="350">
        <v>0</v>
      </c>
      <c r="BX144" s="623"/>
      <c r="BY144" t="s">
        <v>1243</v>
      </c>
      <c r="BZ144" t="s">
        <v>1244</v>
      </c>
      <c r="CA144">
        <v>1</v>
      </c>
      <c r="CB144">
        <v>1</v>
      </c>
      <c r="CC144" t="s">
        <v>700</v>
      </c>
      <c r="CD144" s="286">
        <v>320</v>
      </c>
      <c r="CE144" s="296">
        <v>5040</v>
      </c>
      <c r="CF144" s="261">
        <v>276658</v>
      </c>
      <c r="CG144" s="261">
        <v>227319</v>
      </c>
      <c r="CH144" s="202">
        <v>11</v>
      </c>
      <c r="CI144" s="261">
        <f t="shared" si="111"/>
        <v>18.422893971718388</v>
      </c>
      <c r="CJ144" s="261">
        <f t="shared" si="112"/>
        <v>92851.385617460677</v>
      </c>
      <c r="CL144">
        <v>297480</v>
      </c>
      <c r="CM144" s="299">
        <v>2019</v>
      </c>
      <c r="CN144" s="299">
        <v>1370</v>
      </c>
      <c r="CO144" s="300" t="s">
        <v>255</v>
      </c>
      <c r="CP144" s="299">
        <v>755</v>
      </c>
      <c r="CQ144" s="299">
        <v>119</v>
      </c>
      <c r="CR144" s="294" t="s">
        <v>417</v>
      </c>
      <c r="CS144" s="294" t="s">
        <v>418</v>
      </c>
      <c r="CT144" s="294" t="s">
        <v>420</v>
      </c>
      <c r="CU144" s="301">
        <v>0</v>
      </c>
      <c r="DB144">
        <f t="shared" si="100"/>
        <v>24</v>
      </c>
      <c r="DC144" s="595" t="s">
        <v>834</v>
      </c>
      <c r="DD144" s="595" t="s">
        <v>835</v>
      </c>
      <c r="DE144" s="595" t="s">
        <v>694</v>
      </c>
      <c r="DF144" s="286">
        <v>1600</v>
      </c>
      <c r="DG144" s="286">
        <v>158640.00000000003</v>
      </c>
      <c r="DH144" s="286">
        <v>8778240</v>
      </c>
      <c r="DI144" s="286">
        <v>5905846</v>
      </c>
      <c r="DJ144">
        <v>26</v>
      </c>
      <c r="DK144" s="643">
        <f t="shared" si="101"/>
        <v>528.3954317970871</v>
      </c>
      <c r="DL144" s="408">
        <f t="shared" si="102"/>
        <v>83824651.300289914</v>
      </c>
      <c r="DM144" s="286"/>
      <c r="DN144" s="286"/>
      <c r="FH144">
        <v>20</v>
      </c>
      <c r="FI144" t="s">
        <v>828</v>
      </c>
      <c r="FJ144" t="s">
        <v>829</v>
      </c>
      <c r="FK144" t="s">
        <v>686</v>
      </c>
      <c r="FL144" s="286">
        <v>17680</v>
      </c>
      <c r="FM144" s="286">
        <v>1146120</v>
      </c>
      <c r="FN144" s="286">
        <v>88459840</v>
      </c>
      <c r="FO144" s="286">
        <v>65944340</v>
      </c>
      <c r="FP144">
        <v>8</v>
      </c>
      <c r="FQ144" s="925">
        <v>1895.097258824158</v>
      </c>
      <c r="FR144" s="926">
        <v>2172008870.2835441</v>
      </c>
      <c r="FS144">
        <v>0</v>
      </c>
    </row>
    <row r="145" spans="1:178" ht="16" customHeight="1">
      <c r="A145">
        <v>2017</v>
      </c>
      <c r="B145">
        <v>2670</v>
      </c>
      <c r="C145" t="s">
        <v>257</v>
      </c>
      <c r="D145" t="s">
        <v>245</v>
      </c>
      <c r="E145" s="203">
        <v>98</v>
      </c>
      <c r="F145" s="203" t="s">
        <v>251</v>
      </c>
      <c r="G145" s="203" t="s">
        <v>247</v>
      </c>
      <c r="H145" s="204" t="s">
        <v>249</v>
      </c>
      <c r="I145" s="202">
        <v>0</v>
      </c>
      <c r="J145" s="202">
        <v>0</v>
      </c>
      <c r="K145" s="202">
        <v>0</v>
      </c>
      <c r="L145" s="253"/>
      <c r="M145" s="254">
        <v>2019</v>
      </c>
      <c r="N145" s="254">
        <v>1550</v>
      </c>
      <c r="O145" s="255" t="s">
        <v>258</v>
      </c>
      <c r="P145" s="254">
        <v>410</v>
      </c>
      <c r="Q145" s="254">
        <v>237</v>
      </c>
      <c r="R145" s="255" t="s">
        <v>36</v>
      </c>
      <c r="S145" s="255" t="s">
        <v>158</v>
      </c>
      <c r="T145" s="350">
        <v>3568000</v>
      </c>
      <c r="U145" s="350">
        <v>29486000</v>
      </c>
      <c r="V145" s="350">
        <v>0</v>
      </c>
      <c r="W145" s="350">
        <v>28000</v>
      </c>
      <c r="X145" s="350">
        <v>33082000</v>
      </c>
      <c r="AA145" s="272">
        <v>2019</v>
      </c>
      <c r="AB145" s="272">
        <v>3680</v>
      </c>
      <c r="AC145" s="273" t="s">
        <v>252</v>
      </c>
      <c r="AD145" s="272" t="s">
        <v>489</v>
      </c>
      <c r="AE145" s="272">
        <v>48</v>
      </c>
      <c r="AF145" s="274" t="s">
        <v>399</v>
      </c>
      <c r="AG145" s="272">
        <v>0</v>
      </c>
      <c r="AH145" s="272">
        <v>0</v>
      </c>
      <c r="AI145" s="272">
        <v>0</v>
      </c>
      <c r="AJ145" s="272">
        <v>0</v>
      </c>
      <c r="AK145" s="272">
        <v>0</v>
      </c>
      <c r="AL145" s="352">
        <v>0</v>
      </c>
      <c r="AX145" s="254">
        <v>2019</v>
      </c>
      <c r="AY145" s="254">
        <v>2670</v>
      </c>
      <c r="AZ145" s="255" t="s">
        <v>257</v>
      </c>
      <c r="BA145" s="254">
        <v>410</v>
      </c>
      <c r="BB145" s="254">
        <v>322</v>
      </c>
      <c r="BC145" s="255" t="s">
        <v>555</v>
      </c>
      <c r="BD145" s="255" t="s">
        <v>158</v>
      </c>
      <c r="BE145" s="350">
        <v>0</v>
      </c>
      <c r="BF145" s="350">
        <v>0</v>
      </c>
      <c r="BG145" s="350">
        <v>0</v>
      </c>
      <c r="BH145" s="350">
        <v>0</v>
      </c>
      <c r="BI145" s="350">
        <v>0</v>
      </c>
      <c r="BX145" s="623"/>
      <c r="BY145" t="s">
        <v>925</v>
      </c>
      <c r="BZ145" t="s">
        <v>926</v>
      </c>
      <c r="CA145">
        <v>1</v>
      </c>
      <c r="CB145">
        <v>1</v>
      </c>
      <c r="CC145" t="s">
        <v>700</v>
      </c>
      <c r="CD145" s="286">
        <v>560</v>
      </c>
      <c r="CE145" s="296">
        <v>8760</v>
      </c>
      <c r="CF145" s="261">
        <v>992139</v>
      </c>
      <c r="CG145" s="261">
        <v>428802</v>
      </c>
      <c r="CH145" s="202">
        <v>13</v>
      </c>
      <c r="CI145" s="261">
        <f t="shared" si="111"/>
        <v>106.2931379319991</v>
      </c>
      <c r="CJ145" s="261">
        <f t="shared" si="112"/>
        <v>931127.8882843121</v>
      </c>
      <c r="CL145">
        <v>489920</v>
      </c>
      <c r="CM145" s="299">
        <v>2019</v>
      </c>
      <c r="CN145" s="299">
        <v>1370</v>
      </c>
      <c r="CO145" s="300" t="s">
        <v>255</v>
      </c>
      <c r="CP145" s="299">
        <v>755</v>
      </c>
      <c r="CQ145" s="299">
        <v>120</v>
      </c>
      <c r="CR145" s="294" t="s">
        <v>421</v>
      </c>
      <c r="CS145" s="294" t="s">
        <v>422</v>
      </c>
      <c r="CT145" s="294" t="s">
        <v>322</v>
      </c>
      <c r="CU145" s="301">
        <v>999743</v>
      </c>
      <c r="DB145">
        <f t="shared" si="100"/>
        <v>24</v>
      </c>
      <c r="DC145" s="595" t="s">
        <v>1049</v>
      </c>
      <c r="DD145" s="595" t="s">
        <v>1050</v>
      </c>
      <c r="DE145" s="595" t="s">
        <v>694</v>
      </c>
      <c r="DF145" s="286">
        <v>10920</v>
      </c>
      <c r="DG145" s="286">
        <v>933800</v>
      </c>
      <c r="DH145" s="286">
        <v>62219190</v>
      </c>
      <c r="DI145" s="286">
        <v>40231599</v>
      </c>
      <c r="DJ145">
        <v>26</v>
      </c>
      <c r="DK145" s="643">
        <f t="shared" si="101"/>
        <v>528.3954317970871</v>
      </c>
      <c r="DL145" s="408">
        <f t="shared" si="102"/>
        <v>493415654.21211994</v>
      </c>
      <c r="DM145" s="286"/>
      <c r="DN145" s="286"/>
      <c r="FH145">
        <v>24</v>
      </c>
      <c r="FI145" t="s">
        <v>834</v>
      </c>
      <c r="FJ145" t="s">
        <v>835</v>
      </c>
      <c r="FK145" t="s">
        <v>686</v>
      </c>
      <c r="FL145" s="286">
        <v>1360</v>
      </c>
      <c r="FM145" s="286">
        <v>116120</v>
      </c>
      <c r="FN145" s="286">
        <v>8060120</v>
      </c>
      <c r="FO145" s="286">
        <v>5753501</v>
      </c>
      <c r="FP145">
        <v>26</v>
      </c>
      <c r="FQ145" s="925">
        <v>528.3954317970871</v>
      </c>
      <c r="FR145" s="926">
        <v>61357277.540277757</v>
      </c>
      <c r="FS145">
        <v>0</v>
      </c>
    </row>
    <row r="146" spans="1:178" ht="16" customHeight="1">
      <c r="A146">
        <v>2017</v>
      </c>
      <c r="B146">
        <v>1550</v>
      </c>
      <c r="C146" t="s">
        <v>258</v>
      </c>
      <c r="D146" t="s">
        <v>245</v>
      </c>
      <c r="E146" s="203">
        <v>91</v>
      </c>
      <c r="F146" s="203" t="s">
        <v>246</v>
      </c>
      <c r="G146" s="203" t="s">
        <v>247</v>
      </c>
      <c r="H146" s="203" t="s">
        <v>248</v>
      </c>
      <c r="I146" s="202">
        <v>53</v>
      </c>
      <c r="J146" s="202">
        <v>11313</v>
      </c>
      <c r="K146" s="202">
        <v>141107000</v>
      </c>
      <c r="L146" s="253"/>
      <c r="M146" s="254">
        <v>2019</v>
      </c>
      <c r="N146" s="254">
        <v>1370</v>
      </c>
      <c r="O146" s="255" t="s">
        <v>255</v>
      </c>
      <c r="P146" s="254">
        <v>410</v>
      </c>
      <c r="Q146" s="254">
        <v>220</v>
      </c>
      <c r="R146" s="255" t="s">
        <v>36</v>
      </c>
      <c r="S146" s="255" t="s">
        <v>203</v>
      </c>
      <c r="T146" s="350">
        <v>3331000</v>
      </c>
      <c r="U146" s="350">
        <v>476000</v>
      </c>
      <c r="V146" s="350">
        <v>1201000</v>
      </c>
      <c r="W146" s="350">
        <v>222000</v>
      </c>
      <c r="X146" s="350">
        <v>5230000</v>
      </c>
      <c r="AA146" s="272">
        <v>2019</v>
      </c>
      <c r="AB146" s="272">
        <v>3680</v>
      </c>
      <c r="AC146" s="273" t="s">
        <v>252</v>
      </c>
      <c r="AD146" s="272" t="s">
        <v>489</v>
      </c>
      <c r="AE146" s="272">
        <v>49</v>
      </c>
      <c r="AF146" s="274" t="s">
        <v>490</v>
      </c>
      <c r="AG146" s="272">
        <v>1357</v>
      </c>
      <c r="AH146" s="272">
        <v>0</v>
      </c>
      <c r="AI146" s="272">
        <v>1262</v>
      </c>
      <c r="AJ146" s="272">
        <v>0</v>
      </c>
      <c r="AK146" s="272">
        <v>139115</v>
      </c>
      <c r="AL146" s="352">
        <v>110.2337559429477</v>
      </c>
      <c r="AX146" s="254">
        <v>2019</v>
      </c>
      <c r="AY146" s="254">
        <v>2670</v>
      </c>
      <c r="AZ146" s="255" t="s">
        <v>257</v>
      </c>
      <c r="BA146" s="254">
        <v>410</v>
      </c>
      <c r="BB146" s="254">
        <v>323</v>
      </c>
      <c r="BC146" s="255" t="s">
        <v>555</v>
      </c>
      <c r="BD146" s="255" t="s">
        <v>562</v>
      </c>
      <c r="BE146" s="350">
        <v>34000</v>
      </c>
      <c r="BF146" s="350">
        <v>781000</v>
      </c>
      <c r="BG146" s="350">
        <v>18853000</v>
      </c>
      <c r="BH146" s="350">
        <v>69126000</v>
      </c>
      <c r="BI146" s="350">
        <v>88794000</v>
      </c>
      <c r="BX146" s="623"/>
      <c r="BY146" t="s">
        <v>927</v>
      </c>
      <c r="BZ146" t="s">
        <v>928</v>
      </c>
      <c r="CA146">
        <v>1</v>
      </c>
      <c r="CB146">
        <v>1</v>
      </c>
      <c r="CC146" t="s">
        <v>700</v>
      </c>
      <c r="CD146" s="286">
        <v>2000</v>
      </c>
      <c r="CE146" s="296">
        <v>47400</v>
      </c>
      <c r="CF146" s="261">
        <v>1772358</v>
      </c>
      <c r="CG146" s="261">
        <v>1645481</v>
      </c>
      <c r="CH146" s="202">
        <v>13</v>
      </c>
      <c r="CI146" s="261">
        <f t="shared" si="111"/>
        <v>106.2931379319991</v>
      </c>
      <c r="CJ146" s="261">
        <f t="shared" si="112"/>
        <v>5038294.7379767569</v>
      </c>
      <c r="CL146">
        <v>20680</v>
      </c>
      <c r="CM146" s="299">
        <v>2019</v>
      </c>
      <c r="CN146" s="299">
        <v>1370</v>
      </c>
      <c r="CO146" s="300" t="s">
        <v>255</v>
      </c>
      <c r="CP146" s="299">
        <v>755</v>
      </c>
      <c r="CQ146" s="299">
        <v>121</v>
      </c>
      <c r="CR146" s="294" t="s">
        <v>421</v>
      </c>
      <c r="CS146" s="294" t="s">
        <v>422</v>
      </c>
      <c r="CT146" s="294" t="s">
        <v>323</v>
      </c>
      <c r="CU146" s="301">
        <v>2228006</v>
      </c>
      <c r="DB146">
        <f t="shared" si="100"/>
        <v>24</v>
      </c>
      <c r="DC146" s="595" t="s">
        <v>1051</v>
      </c>
      <c r="DD146" s="595" t="s">
        <v>1052</v>
      </c>
      <c r="DE146" s="595" t="s">
        <v>694</v>
      </c>
      <c r="DF146" s="286">
        <v>7500</v>
      </c>
      <c r="DG146" s="286">
        <v>608496.00000000012</v>
      </c>
      <c r="DH146" s="286">
        <v>34265131</v>
      </c>
      <c r="DI146" s="286">
        <v>19607701</v>
      </c>
      <c r="DJ146">
        <v>26</v>
      </c>
      <c r="DK146" s="643">
        <f t="shared" si="101"/>
        <v>528.3954317970871</v>
      </c>
      <c r="DL146" s="408">
        <f t="shared" si="102"/>
        <v>321526506.66680038</v>
      </c>
      <c r="DM146" s="286"/>
      <c r="DN146" s="286"/>
      <c r="FH146">
        <v>24</v>
      </c>
      <c r="FI146" t="s">
        <v>836</v>
      </c>
      <c r="FJ146" t="s">
        <v>742</v>
      </c>
      <c r="FK146" t="s">
        <v>686</v>
      </c>
      <c r="FL146" s="286">
        <v>1680</v>
      </c>
      <c r="FM146" s="286">
        <v>139040.00000000003</v>
      </c>
      <c r="FN146" s="286">
        <v>7031886</v>
      </c>
      <c r="FO146" s="286">
        <v>4016247.9999999995</v>
      </c>
      <c r="FP146">
        <v>26</v>
      </c>
      <c r="FQ146" s="925">
        <v>528.3954317970871</v>
      </c>
      <c r="FR146" s="926">
        <v>73468100.837067008</v>
      </c>
      <c r="FS146">
        <v>0</v>
      </c>
    </row>
    <row r="147" spans="1:178" ht="16" customHeight="1">
      <c r="A147">
        <v>2017</v>
      </c>
      <c r="B147">
        <v>1550</v>
      </c>
      <c r="C147" t="s">
        <v>258</v>
      </c>
      <c r="D147" t="s">
        <v>245</v>
      </c>
      <c r="E147" s="203">
        <v>92</v>
      </c>
      <c r="F147" s="203" t="s">
        <v>246</v>
      </c>
      <c r="G147" s="203" t="s">
        <v>247</v>
      </c>
      <c r="H147" s="204" t="s">
        <v>249</v>
      </c>
      <c r="I147" s="202">
        <v>112</v>
      </c>
      <c r="J147" s="202">
        <v>23054</v>
      </c>
      <c r="K147" s="202">
        <v>163136000</v>
      </c>
      <c r="L147" s="253"/>
      <c r="M147" s="254">
        <v>2019</v>
      </c>
      <c r="N147" s="254">
        <v>1370</v>
      </c>
      <c r="O147" s="255" t="s">
        <v>255</v>
      </c>
      <c r="P147" s="254">
        <v>410</v>
      </c>
      <c r="Q147" s="254">
        <v>221</v>
      </c>
      <c r="R147" s="255" t="s">
        <v>36</v>
      </c>
      <c r="S147" s="255" t="s">
        <v>197</v>
      </c>
      <c r="T147" s="350">
        <v>25850000</v>
      </c>
      <c r="U147" s="350">
        <v>23298000</v>
      </c>
      <c r="V147" s="350">
        <v>37758000</v>
      </c>
      <c r="W147" s="350">
        <v>327000</v>
      </c>
      <c r="X147" s="350">
        <v>87233000</v>
      </c>
      <c r="AA147" s="272">
        <v>2019</v>
      </c>
      <c r="AB147" s="272">
        <v>3680</v>
      </c>
      <c r="AC147" s="273" t="s">
        <v>252</v>
      </c>
      <c r="AD147" s="272" t="s">
        <v>489</v>
      </c>
      <c r="AE147" s="272">
        <v>50</v>
      </c>
      <c r="AF147" s="274" t="s">
        <v>408</v>
      </c>
      <c r="AG147" s="272">
        <v>0</v>
      </c>
      <c r="AH147" s="272">
        <v>0</v>
      </c>
      <c r="AI147" s="272">
        <v>0</v>
      </c>
      <c r="AJ147" s="272">
        <v>0</v>
      </c>
      <c r="AK147" s="272">
        <v>0</v>
      </c>
      <c r="AL147" s="352">
        <v>0</v>
      </c>
      <c r="AX147" s="254">
        <v>2019</v>
      </c>
      <c r="AY147" s="254">
        <v>2670</v>
      </c>
      <c r="AZ147" s="255" t="s">
        <v>257</v>
      </c>
      <c r="BA147" s="254">
        <v>410</v>
      </c>
      <c r="BB147" s="254">
        <v>324</v>
      </c>
      <c r="BC147" s="255" t="s">
        <v>283</v>
      </c>
      <c r="BD147" s="255" t="s">
        <v>563</v>
      </c>
      <c r="BE147" s="350">
        <v>127021000</v>
      </c>
      <c r="BF147" s="350">
        <v>138298000</v>
      </c>
      <c r="BG147" s="350">
        <v>520190000</v>
      </c>
      <c r="BH147" s="350">
        <v>394450000</v>
      </c>
      <c r="BI147" s="350">
        <v>1179959000</v>
      </c>
      <c r="BX147" s="623"/>
      <c r="BY147" t="s">
        <v>1040</v>
      </c>
      <c r="BZ147" t="s">
        <v>732</v>
      </c>
      <c r="CA147">
        <v>1</v>
      </c>
      <c r="CB147">
        <v>1</v>
      </c>
      <c r="CC147" t="s">
        <v>700</v>
      </c>
      <c r="CD147" s="286">
        <v>3232</v>
      </c>
      <c r="CE147" s="296">
        <v>49452</v>
      </c>
      <c r="CF147" s="261">
        <v>16109016</v>
      </c>
      <c r="CG147" s="261">
        <v>2857900</v>
      </c>
      <c r="CH147" s="202">
        <v>36</v>
      </c>
      <c r="CI147" s="261">
        <f t="shared" si="111"/>
        <v>7463.6077432689826</v>
      </c>
      <c r="CJ147" s="261">
        <f t="shared" si="112"/>
        <v>369090330.12013775</v>
      </c>
      <c r="CL147">
        <v>78960</v>
      </c>
      <c r="CM147" s="299">
        <v>2019</v>
      </c>
      <c r="CN147" s="299">
        <v>1370</v>
      </c>
      <c r="CO147" s="300" t="s">
        <v>255</v>
      </c>
      <c r="CP147" s="299">
        <v>755</v>
      </c>
      <c r="CQ147" s="299">
        <v>122</v>
      </c>
      <c r="CR147" s="294" t="s">
        <v>421</v>
      </c>
      <c r="CS147" s="294" t="s">
        <v>422</v>
      </c>
      <c r="CT147" s="294" t="s">
        <v>325</v>
      </c>
      <c r="CU147" s="301">
        <v>2902289</v>
      </c>
      <c r="DB147">
        <f t="shared" si="100"/>
        <v>24</v>
      </c>
      <c r="DC147" s="595" t="s">
        <v>1053</v>
      </c>
      <c r="DD147" s="595" t="s">
        <v>1054</v>
      </c>
      <c r="DE147" s="595" t="s">
        <v>694</v>
      </c>
      <c r="DF147" s="286">
        <v>2168</v>
      </c>
      <c r="DG147" s="286">
        <v>176012</v>
      </c>
      <c r="DH147" s="286">
        <v>10143286</v>
      </c>
      <c r="DI147" s="286">
        <v>6356959</v>
      </c>
      <c r="DJ147">
        <v>26</v>
      </c>
      <c r="DK147" s="643">
        <f t="shared" si="101"/>
        <v>528.3954317970871</v>
      </c>
      <c r="DL147" s="408">
        <f t="shared" si="102"/>
        <v>93003936.741468892</v>
      </c>
      <c r="DM147" s="286"/>
      <c r="DN147" s="286"/>
      <c r="FH147">
        <v>26</v>
      </c>
      <c r="FI147" t="s">
        <v>839</v>
      </c>
      <c r="FJ147" t="s">
        <v>840</v>
      </c>
      <c r="FK147" t="s">
        <v>686</v>
      </c>
      <c r="FL147" s="286">
        <v>11708</v>
      </c>
      <c r="FM147" s="286">
        <v>959568</v>
      </c>
      <c r="FN147" s="286">
        <v>43367575.000000007</v>
      </c>
      <c r="FO147" s="286">
        <v>35157187</v>
      </c>
      <c r="FP147">
        <v>27</v>
      </c>
      <c r="FQ147" s="925">
        <v>985.37071332586186</v>
      </c>
      <c r="FR147" s="926">
        <v>945530204.64467061</v>
      </c>
      <c r="FS147">
        <v>0</v>
      </c>
    </row>
    <row r="148" spans="1:178" ht="16" customHeight="1">
      <c r="A148">
        <v>2017</v>
      </c>
      <c r="B148">
        <v>1550</v>
      </c>
      <c r="C148" t="s">
        <v>258</v>
      </c>
      <c r="D148" t="s">
        <v>245</v>
      </c>
      <c r="E148" s="203">
        <v>93</v>
      </c>
      <c r="F148" s="203" t="s">
        <v>250</v>
      </c>
      <c r="G148" s="203" t="s">
        <v>247</v>
      </c>
      <c r="H148" s="203" t="s">
        <v>248</v>
      </c>
      <c r="I148" s="202">
        <v>470</v>
      </c>
      <c r="J148" s="202">
        <v>14900</v>
      </c>
      <c r="K148" s="202">
        <v>43166000</v>
      </c>
      <c r="L148" s="253"/>
      <c r="M148" s="254">
        <v>2019</v>
      </c>
      <c r="N148" s="254">
        <v>1370</v>
      </c>
      <c r="O148" s="255" t="s">
        <v>255</v>
      </c>
      <c r="P148" s="254">
        <v>410</v>
      </c>
      <c r="Q148" s="254">
        <v>222</v>
      </c>
      <c r="R148" s="255" t="s">
        <v>36</v>
      </c>
      <c r="S148" s="255" t="s">
        <v>198</v>
      </c>
      <c r="T148" s="350">
        <v>0</v>
      </c>
      <c r="U148" s="350">
        <v>0</v>
      </c>
      <c r="V148" s="350">
        <v>0</v>
      </c>
      <c r="W148" s="350">
        <v>0</v>
      </c>
      <c r="X148" s="350">
        <v>0</v>
      </c>
      <c r="AA148" s="272">
        <v>2019</v>
      </c>
      <c r="AB148" s="272">
        <v>3680</v>
      </c>
      <c r="AC148" s="273" t="s">
        <v>252</v>
      </c>
      <c r="AD148" s="272" t="s">
        <v>489</v>
      </c>
      <c r="AE148" s="272">
        <v>51</v>
      </c>
      <c r="AF148" s="274" t="s">
        <v>409</v>
      </c>
      <c r="AG148" s="272">
        <v>0</v>
      </c>
      <c r="AH148" s="272">
        <v>0</v>
      </c>
      <c r="AI148" s="272">
        <v>0</v>
      </c>
      <c r="AJ148" s="272">
        <v>0</v>
      </c>
      <c r="AK148" s="272">
        <v>0</v>
      </c>
      <c r="AL148" s="352">
        <v>0</v>
      </c>
      <c r="AX148" s="254">
        <v>2019</v>
      </c>
      <c r="AY148" s="254">
        <v>1550</v>
      </c>
      <c r="AZ148" s="255" t="s">
        <v>258</v>
      </c>
      <c r="BA148" s="254">
        <v>410</v>
      </c>
      <c r="BB148" s="254">
        <v>301</v>
      </c>
      <c r="BC148" s="255" t="s">
        <v>555</v>
      </c>
      <c r="BD148" s="255" t="s">
        <v>203</v>
      </c>
      <c r="BE148" s="350">
        <v>0</v>
      </c>
      <c r="BF148" s="350">
        <v>206000</v>
      </c>
      <c r="BG148" s="350">
        <v>2000</v>
      </c>
      <c r="BH148" s="350">
        <v>268000</v>
      </c>
      <c r="BI148" s="350">
        <v>476000</v>
      </c>
      <c r="BX148" s="623"/>
      <c r="BY148" t="s">
        <v>1245</v>
      </c>
      <c r="BZ148" t="s">
        <v>1246</v>
      </c>
      <c r="CA148">
        <v>1</v>
      </c>
      <c r="CB148">
        <v>1</v>
      </c>
      <c r="CC148" t="s">
        <v>700</v>
      </c>
      <c r="CD148" s="286">
        <v>11480</v>
      </c>
      <c r="CE148" s="296">
        <v>273120</v>
      </c>
      <c r="CF148" s="261">
        <v>14607785</v>
      </c>
      <c r="CG148" s="261">
        <v>11950114</v>
      </c>
      <c r="CH148" s="202">
        <v>5</v>
      </c>
      <c r="CI148" s="261">
        <f t="shared" si="111"/>
        <v>3558.1300539715367</v>
      </c>
      <c r="CJ148" s="261">
        <f t="shared" si="112"/>
        <v>971796480.34070611</v>
      </c>
      <c r="CL148">
        <v>90880</v>
      </c>
      <c r="CM148" s="299">
        <v>2019</v>
      </c>
      <c r="CN148" s="299">
        <v>1370</v>
      </c>
      <c r="CO148" s="300" t="s">
        <v>255</v>
      </c>
      <c r="CP148" s="299">
        <v>755</v>
      </c>
      <c r="CQ148" s="299">
        <v>123</v>
      </c>
      <c r="CR148" s="294" t="s">
        <v>423</v>
      </c>
      <c r="CS148" s="294" t="s">
        <v>424</v>
      </c>
      <c r="CT148" s="294" t="s">
        <v>425</v>
      </c>
      <c r="CU148" s="301">
        <v>1092706</v>
      </c>
      <c r="DB148">
        <f t="shared" si="100"/>
        <v>24</v>
      </c>
      <c r="DC148" s="595" t="s">
        <v>836</v>
      </c>
      <c r="DD148" s="595" t="s">
        <v>742</v>
      </c>
      <c r="DE148" s="595" t="s">
        <v>687</v>
      </c>
      <c r="DF148" s="286">
        <v>32600</v>
      </c>
      <c r="DG148" s="286">
        <v>3071200</v>
      </c>
      <c r="DH148" s="286">
        <v>147420751</v>
      </c>
      <c r="DI148" s="286">
        <v>87274021</v>
      </c>
      <c r="DJ148">
        <v>26</v>
      </c>
      <c r="DK148" s="643">
        <f t="shared" si="101"/>
        <v>528.3954317970871</v>
      </c>
      <c r="DL148" s="408">
        <f t="shared" si="102"/>
        <v>1622808050.1352139</v>
      </c>
      <c r="DM148" s="286"/>
      <c r="DN148" s="286"/>
      <c r="FH148">
        <v>26</v>
      </c>
      <c r="FI148" t="s">
        <v>841</v>
      </c>
      <c r="FJ148" t="s">
        <v>842</v>
      </c>
      <c r="FK148" t="s">
        <v>686</v>
      </c>
      <c r="FL148" s="286">
        <v>1080</v>
      </c>
      <c r="FM148" s="286">
        <v>83360</v>
      </c>
      <c r="FN148" s="286">
        <v>5752941</v>
      </c>
      <c r="FO148" s="286">
        <v>3851614</v>
      </c>
      <c r="FP148">
        <v>27</v>
      </c>
      <c r="FQ148" s="925">
        <v>985.37071332586186</v>
      </c>
      <c r="FR148" s="926">
        <v>82140502.662843838</v>
      </c>
      <c r="FS148">
        <v>0</v>
      </c>
    </row>
    <row r="149" spans="1:178" ht="16" customHeight="1">
      <c r="A149">
        <v>2017</v>
      </c>
      <c r="B149">
        <v>1550</v>
      </c>
      <c r="C149" t="s">
        <v>258</v>
      </c>
      <c r="D149" t="s">
        <v>245</v>
      </c>
      <c r="E149" s="203">
        <v>94</v>
      </c>
      <c r="F149" s="203" t="s">
        <v>250</v>
      </c>
      <c r="G149" s="203" t="s">
        <v>247</v>
      </c>
      <c r="H149" s="203" t="s">
        <v>249</v>
      </c>
      <c r="I149" s="202">
        <v>0</v>
      </c>
      <c r="J149" s="202">
        <v>0</v>
      </c>
      <c r="K149" s="202">
        <v>0</v>
      </c>
      <c r="L149" s="253"/>
      <c r="M149" s="254">
        <v>2019</v>
      </c>
      <c r="N149" s="254">
        <v>1370</v>
      </c>
      <c r="O149" s="255" t="s">
        <v>255</v>
      </c>
      <c r="P149" s="254">
        <v>410</v>
      </c>
      <c r="Q149" s="254">
        <v>223</v>
      </c>
      <c r="R149" s="255" t="s">
        <v>36</v>
      </c>
      <c r="S149" s="255" t="s">
        <v>199</v>
      </c>
      <c r="T149" s="350">
        <v>0</v>
      </c>
      <c r="U149" s="350">
        <v>0</v>
      </c>
      <c r="V149" s="350">
        <v>0</v>
      </c>
      <c r="W149" s="350">
        <v>0</v>
      </c>
      <c r="X149" s="350">
        <v>0</v>
      </c>
      <c r="AA149" s="272">
        <v>2019</v>
      </c>
      <c r="AB149" s="272">
        <v>3680</v>
      </c>
      <c r="AC149" s="273" t="s">
        <v>252</v>
      </c>
      <c r="AD149" s="272" t="s">
        <v>489</v>
      </c>
      <c r="AE149" s="272">
        <v>52</v>
      </c>
      <c r="AF149" s="274" t="s">
        <v>491</v>
      </c>
      <c r="AG149" s="272">
        <v>0</v>
      </c>
      <c r="AH149" s="272">
        <v>0</v>
      </c>
      <c r="AI149" s="272">
        <v>0</v>
      </c>
      <c r="AJ149" s="272">
        <v>0</v>
      </c>
      <c r="AK149" s="272">
        <v>0</v>
      </c>
      <c r="AL149" s="352">
        <v>0</v>
      </c>
      <c r="AX149" s="254">
        <v>2019</v>
      </c>
      <c r="AY149" s="254">
        <v>1550</v>
      </c>
      <c r="AZ149" s="255" t="s">
        <v>258</v>
      </c>
      <c r="BA149" s="254">
        <v>410</v>
      </c>
      <c r="BB149" s="254">
        <v>302</v>
      </c>
      <c r="BC149" s="255" t="s">
        <v>555</v>
      </c>
      <c r="BD149" s="255" t="s">
        <v>556</v>
      </c>
      <c r="BE149" s="350">
        <v>0</v>
      </c>
      <c r="BF149" s="350">
        <v>535000</v>
      </c>
      <c r="BG149" s="350">
        <v>65384000</v>
      </c>
      <c r="BH149" s="350">
        <v>225000</v>
      </c>
      <c r="BI149" s="350">
        <v>66144000</v>
      </c>
      <c r="BX149" s="623"/>
      <c r="BY149" t="s">
        <v>1247</v>
      </c>
      <c r="BZ149" t="s">
        <v>1248</v>
      </c>
      <c r="CA149">
        <v>1</v>
      </c>
      <c r="CB149">
        <v>1</v>
      </c>
      <c r="CC149" t="s">
        <v>700</v>
      </c>
      <c r="CD149" s="286">
        <v>10280</v>
      </c>
      <c r="CE149" s="296">
        <v>216080</v>
      </c>
      <c r="CF149" s="261">
        <v>10223165</v>
      </c>
      <c r="CG149" s="261">
        <v>9594581</v>
      </c>
      <c r="CH149" s="202">
        <v>4</v>
      </c>
      <c r="CI149" s="261">
        <f t="shared" si="111"/>
        <v>372.51982588160462</v>
      </c>
      <c r="CJ149" s="261">
        <f t="shared" si="112"/>
        <v>80494083.976497129</v>
      </c>
      <c r="CL149">
        <v>6560</v>
      </c>
      <c r="CM149" s="299">
        <v>2019</v>
      </c>
      <c r="CN149" s="299">
        <v>1370</v>
      </c>
      <c r="CO149" s="300" t="s">
        <v>255</v>
      </c>
      <c r="CP149" s="299">
        <v>755</v>
      </c>
      <c r="CQ149" s="299">
        <v>124</v>
      </c>
      <c r="CR149" s="294" t="s">
        <v>426</v>
      </c>
      <c r="CS149" s="294" t="s">
        <v>427</v>
      </c>
      <c r="CT149" s="294" t="s">
        <v>428</v>
      </c>
      <c r="CU149" s="301">
        <v>0</v>
      </c>
      <c r="DB149">
        <f t="shared" si="100"/>
        <v>24</v>
      </c>
      <c r="DC149" s="595" t="s">
        <v>836</v>
      </c>
      <c r="DD149" s="595" t="s">
        <v>742</v>
      </c>
      <c r="DE149" s="595" t="s">
        <v>686</v>
      </c>
      <c r="DF149" s="286">
        <v>1680</v>
      </c>
      <c r="DG149" s="286">
        <v>139040.00000000003</v>
      </c>
      <c r="DH149" s="286">
        <v>7031886</v>
      </c>
      <c r="DI149" s="286">
        <v>4016247.9999999995</v>
      </c>
      <c r="DJ149">
        <v>26</v>
      </c>
      <c r="DK149" s="643">
        <f t="shared" si="101"/>
        <v>528.3954317970871</v>
      </c>
      <c r="DL149" s="408">
        <f t="shared" si="102"/>
        <v>73468100.837067008</v>
      </c>
      <c r="DM149" s="286"/>
      <c r="DN149" s="286"/>
      <c r="FH149">
        <v>26</v>
      </c>
      <c r="FI149" t="s">
        <v>843</v>
      </c>
      <c r="FJ149" t="s">
        <v>844</v>
      </c>
      <c r="FK149" t="s">
        <v>686</v>
      </c>
      <c r="FL149" s="286">
        <v>2160</v>
      </c>
      <c r="FM149" s="286">
        <v>183240</v>
      </c>
      <c r="FN149" s="286">
        <v>7992605</v>
      </c>
      <c r="FO149" s="286">
        <v>6994755.9999999991</v>
      </c>
      <c r="FP149">
        <v>27</v>
      </c>
      <c r="FQ149" s="925">
        <v>985.37071332586186</v>
      </c>
      <c r="FR149" s="926">
        <v>180559329.50983092</v>
      </c>
      <c r="FS149">
        <v>0</v>
      </c>
    </row>
    <row r="150" spans="1:178" ht="16" customHeight="1">
      <c r="A150">
        <v>2017</v>
      </c>
      <c r="B150">
        <v>1550</v>
      </c>
      <c r="C150" t="s">
        <v>258</v>
      </c>
      <c r="D150" t="s">
        <v>245</v>
      </c>
      <c r="E150">
        <v>97</v>
      </c>
      <c r="F150" t="s">
        <v>251</v>
      </c>
      <c r="G150" t="s">
        <v>247</v>
      </c>
      <c r="H150" t="s">
        <v>248</v>
      </c>
      <c r="I150" s="202">
        <v>0</v>
      </c>
      <c r="J150" s="202">
        <v>0</v>
      </c>
      <c r="K150" s="202">
        <v>0</v>
      </c>
      <c r="L150" s="253"/>
      <c r="M150" s="254">
        <v>2019</v>
      </c>
      <c r="N150" s="254">
        <v>1370</v>
      </c>
      <c r="O150" s="255" t="s">
        <v>255</v>
      </c>
      <c r="P150" s="254">
        <v>410</v>
      </c>
      <c r="Q150" s="254">
        <v>224</v>
      </c>
      <c r="R150" s="255" t="s">
        <v>36</v>
      </c>
      <c r="S150" s="255" t="s">
        <v>200</v>
      </c>
      <c r="T150" s="350">
        <v>0</v>
      </c>
      <c r="U150" s="350">
        <v>0</v>
      </c>
      <c r="V150" s="350">
        <v>0</v>
      </c>
      <c r="W150" s="350">
        <v>12236000</v>
      </c>
      <c r="X150" s="350">
        <v>12236000</v>
      </c>
      <c r="AA150" s="272">
        <v>2019</v>
      </c>
      <c r="AB150" s="272">
        <v>3680</v>
      </c>
      <c r="AC150" s="273" t="s">
        <v>252</v>
      </c>
      <c r="AD150" s="272" t="s">
        <v>489</v>
      </c>
      <c r="AE150" s="272">
        <v>53</v>
      </c>
      <c r="AF150" s="274" t="s">
        <v>492</v>
      </c>
      <c r="AG150" s="272">
        <v>12968</v>
      </c>
      <c r="AH150" s="272">
        <v>376</v>
      </c>
      <c r="AI150" s="272">
        <v>12029</v>
      </c>
      <c r="AJ150" s="272">
        <v>0</v>
      </c>
      <c r="AK150" s="272">
        <v>1288406</v>
      </c>
      <c r="AL150" s="352">
        <v>107.10832155623909</v>
      </c>
      <c r="AX150" s="254">
        <v>2019</v>
      </c>
      <c r="AY150" s="254">
        <v>1550</v>
      </c>
      <c r="AZ150" s="255" t="s">
        <v>258</v>
      </c>
      <c r="BA150" s="254">
        <v>410</v>
      </c>
      <c r="BB150" s="254">
        <v>303</v>
      </c>
      <c r="BC150" s="255" t="s">
        <v>555</v>
      </c>
      <c r="BD150" s="255" t="s">
        <v>557</v>
      </c>
      <c r="BE150" s="350">
        <v>0</v>
      </c>
      <c r="BF150" s="350">
        <v>0</v>
      </c>
      <c r="BG150" s="350">
        <v>0</v>
      </c>
      <c r="BH150" s="350">
        <v>0</v>
      </c>
      <c r="BI150" s="350">
        <v>0</v>
      </c>
      <c r="BX150" s="623"/>
      <c r="BY150" t="s">
        <v>1249</v>
      </c>
      <c r="BZ150" t="s">
        <v>1250</v>
      </c>
      <c r="CA150">
        <v>1</v>
      </c>
      <c r="CB150">
        <v>1</v>
      </c>
      <c r="CC150" t="s">
        <v>700</v>
      </c>
      <c r="CD150" s="286">
        <v>4520</v>
      </c>
      <c r="CE150" s="296">
        <v>80720</v>
      </c>
      <c r="CF150" s="261">
        <v>5587670</v>
      </c>
      <c r="CG150" s="261">
        <v>4019348</v>
      </c>
      <c r="CH150" s="202">
        <v>7</v>
      </c>
      <c r="CI150" s="261">
        <f t="shared" si="111"/>
        <v>1047.1475692534934</v>
      </c>
      <c r="CJ150" s="261">
        <f t="shared" si="112"/>
        <v>84525751.790141985</v>
      </c>
      <c r="CL150">
        <v>113240</v>
      </c>
      <c r="CM150" s="299">
        <v>2019</v>
      </c>
      <c r="CN150" s="299">
        <v>1370</v>
      </c>
      <c r="CO150" s="300" t="s">
        <v>255</v>
      </c>
      <c r="CP150" s="299">
        <v>755</v>
      </c>
      <c r="CQ150" s="299">
        <v>125</v>
      </c>
      <c r="CR150" s="294" t="s">
        <v>429</v>
      </c>
      <c r="CS150" s="294" t="s">
        <v>430</v>
      </c>
      <c r="CT150" s="294" t="s">
        <v>431</v>
      </c>
      <c r="CU150" s="301">
        <v>47498</v>
      </c>
      <c r="DB150">
        <f t="shared" si="100"/>
        <v>24</v>
      </c>
      <c r="DC150" s="595" t="s">
        <v>836</v>
      </c>
      <c r="DD150" s="595" t="s">
        <v>742</v>
      </c>
      <c r="DE150" s="595" t="s">
        <v>694</v>
      </c>
      <c r="DF150" s="286">
        <v>15760</v>
      </c>
      <c r="DG150" s="286">
        <v>1562320</v>
      </c>
      <c r="DH150" s="286">
        <v>72586933</v>
      </c>
      <c r="DI150" s="286">
        <v>50379205</v>
      </c>
      <c r="DJ150">
        <v>26</v>
      </c>
      <c r="DK150" s="643">
        <f t="shared" si="101"/>
        <v>528.3954317970871</v>
      </c>
      <c r="DL150" s="408">
        <f t="shared" si="102"/>
        <v>825522751.00522506</v>
      </c>
      <c r="DM150" s="286"/>
      <c r="DN150" s="286"/>
      <c r="FH150">
        <v>26</v>
      </c>
      <c r="FI150" t="s">
        <v>845</v>
      </c>
      <c r="FJ150" t="s">
        <v>846</v>
      </c>
      <c r="FK150" t="s">
        <v>686</v>
      </c>
      <c r="FL150" s="286">
        <v>7400</v>
      </c>
      <c r="FM150" s="286">
        <v>631280</v>
      </c>
      <c r="FN150" s="286">
        <v>27080459.000000004</v>
      </c>
      <c r="FO150" s="286">
        <v>20540109</v>
      </c>
      <c r="FP150">
        <v>27</v>
      </c>
      <c r="FQ150" s="925">
        <v>985.37071332586186</v>
      </c>
      <c r="FR150" s="926">
        <v>622044823.90835011</v>
      </c>
      <c r="FS150">
        <v>0</v>
      </c>
    </row>
    <row r="151" spans="1:178" ht="16" customHeight="1">
      <c r="A151">
        <v>2017</v>
      </c>
      <c r="B151">
        <v>1550</v>
      </c>
      <c r="C151" t="s">
        <v>258</v>
      </c>
      <c r="D151" t="s">
        <v>245</v>
      </c>
      <c r="E151">
        <v>98</v>
      </c>
      <c r="F151" t="s">
        <v>251</v>
      </c>
      <c r="G151" t="s">
        <v>247</v>
      </c>
      <c r="H151" t="s">
        <v>249</v>
      </c>
      <c r="I151" s="202">
        <v>0</v>
      </c>
      <c r="J151" s="202">
        <v>0</v>
      </c>
      <c r="K151" s="202">
        <v>0</v>
      </c>
      <c r="L151" s="253"/>
      <c r="M151" s="254">
        <v>2019</v>
      </c>
      <c r="N151" s="254">
        <v>1370</v>
      </c>
      <c r="O151" s="255" t="s">
        <v>255</v>
      </c>
      <c r="P151" s="254">
        <v>410</v>
      </c>
      <c r="Q151" s="254">
        <v>225</v>
      </c>
      <c r="R151" s="255" t="s">
        <v>36</v>
      </c>
      <c r="S151" s="255" t="s">
        <v>201</v>
      </c>
      <c r="T151" s="350">
        <v>0</v>
      </c>
      <c r="U151" s="350">
        <v>0</v>
      </c>
      <c r="V151" s="350">
        <v>0</v>
      </c>
      <c r="W151" s="350">
        <v>241000</v>
      </c>
      <c r="X151" s="350">
        <v>241000</v>
      </c>
      <c r="AA151" s="272">
        <v>2019</v>
      </c>
      <c r="AB151" s="272">
        <v>3680</v>
      </c>
      <c r="AC151" s="273" t="s">
        <v>252</v>
      </c>
      <c r="AD151" s="272" t="s">
        <v>489</v>
      </c>
      <c r="AE151" s="272">
        <v>54</v>
      </c>
      <c r="AF151" s="274" t="s">
        <v>493</v>
      </c>
      <c r="AG151" s="272">
        <v>0</v>
      </c>
      <c r="AH151" s="272">
        <v>7</v>
      </c>
      <c r="AI151" s="272">
        <v>0</v>
      </c>
      <c r="AJ151" s="272">
        <v>1</v>
      </c>
      <c r="AK151" s="272">
        <v>0</v>
      </c>
      <c r="AL151" s="352">
        <v>0</v>
      </c>
      <c r="AX151" s="254">
        <v>2019</v>
      </c>
      <c r="AY151" s="254">
        <v>1550</v>
      </c>
      <c r="AZ151" s="255" t="s">
        <v>258</v>
      </c>
      <c r="BA151" s="254">
        <v>410</v>
      </c>
      <c r="BB151" s="254">
        <v>304</v>
      </c>
      <c r="BC151" s="255" t="s">
        <v>555</v>
      </c>
      <c r="BD151" s="255" t="s">
        <v>558</v>
      </c>
      <c r="BE151" s="350">
        <v>0</v>
      </c>
      <c r="BF151" s="350">
        <v>0</v>
      </c>
      <c r="BG151" s="350">
        <v>0</v>
      </c>
      <c r="BH151" s="350">
        <v>0</v>
      </c>
      <c r="BI151" s="350">
        <v>0</v>
      </c>
      <c r="BX151" s="623"/>
      <c r="BY151" t="s">
        <v>1251</v>
      </c>
      <c r="BZ151" t="s">
        <v>1252</v>
      </c>
      <c r="CA151">
        <v>1</v>
      </c>
      <c r="CB151">
        <v>1</v>
      </c>
      <c r="CC151" t="s">
        <v>700</v>
      </c>
      <c r="CD151" s="286">
        <v>240</v>
      </c>
      <c r="CE151" s="296">
        <v>3400</v>
      </c>
      <c r="CF151" s="261">
        <v>352760</v>
      </c>
      <c r="CG151" s="261">
        <v>274136</v>
      </c>
      <c r="CH151" s="202">
        <v>7</v>
      </c>
      <c r="CI151" s="261">
        <f t="shared" si="111"/>
        <v>1047.1475692534934</v>
      </c>
      <c r="CJ151" s="261">
        <f t="shared" si="112"/>
        <v>3560301.7354618777</v>
      </c>
      <c r="CL151">
        <v>14880</v>
      </c>
      <c r="CM151" s="299">
        <v>2019</v>
      </c>
      <c r="CN151" s="299">
        <v>1370</v>
      </c>
      <c r="CO151" s="300" t="s">
        <v>255</v>
      </c>
      <c r="CP151" s="299">
        <v>755</v>
      </c>
      <c r="CQ151" s="299">
        <v>126</v>
      </c>
      <c r="CR151" s="294" t="s">
        <v>432</v>
      </c>
      <c r="CS151" s="294" t="s">
        <v>433</v>
      </c>
      <c r="CT151" s="294" t="s">
        <v>434</v>
      </c>
      <c r="CU151" s="301">
        <v>0</v>
      </c>
      <c r="DB151">
        <f t="shared" si="100"/>
        <v>24</v>
      </c>
      <c r="DC151" s="595" t="s">
        <v>1055</v>
      </c>
      <c r="DD151" s="595" t="s">
        <v>1056</v>
      </c>
      <c r="DE151" s="595" t="s">
        <v>694</v>
      </c>
      <c r="DF151" s="286">
        <v>1096</v>
      </c>
      <c r="DG151" s="286">
        <v>106540</v>
      </c>
      <c r="DH151" s="286">
        <v>6861920</v>
      </c>
      <c r="DI151" s="286">
        <v>5038798</v>
      </c>
      <c r="DJ151">
        <v>26</v>
      </c>
      <c r="DK151" s="643">
        <f t="shared" si="101"/>
        <v>528.3954317970871</v>
      </c>
      <c r="DL151" s="408">
        <f t="shared" si="102"/>
        <v>56295249.303661659</v>
      </c>
      <c r="DM151" s="286"/>
      <c r="DN151" s="286"/>
      <c r="FH151">
        <v>26</v>
      </c>
      <c r="FI151" t="s">
        <v>849</v>
      </c>
      <c r="FJ151" t="s">
        <v>850</v>
      </c>
      <c r="FK151" t="s">
        <v>686</v>
      </c>
      <c r="FL151" s="286">
        <v>27120</v>
      </c>
      <c r="FM151" s="286">
        <v>1931400</v>
      </c>
      <c r="FN151" s="286">
        <v>123239842</v>
      </c>
      <c r="FO151" s="286">
        <v>83228224.999999985</v>
      </c>
      <c r="FP151">
        <v>27</v>
      </c>
      <c r="FQ151" s="925">
        <v>985.37071332586186</v>
      </c>
      <c r="FR151" s="926">
        <v>1903144995.7175696</v>
      </c>
      <c r="FS151">
        <v>0</v>
      </c>
    </row>
    <row r="152" spans="1:178" ht="16" customHeight="1">
      <c r="A152">
        <v>2016</v>
      </c>
      <c r="B152">
        <v>3740</v>
      </c>
      <c r="C152" t="s">
        <v>244</v>
      </c>
      <c r="D152" t="s">
        <v>245</v>
      </c>
      <c r="E152" s="203">
        <v>91</v>
      </c>
      <c r="F152" s="203" t="s">
        <v>246</v>
      </c>
      <c r="G152" s="203" t="s">
        <v>247</v>
      </c>
      <c r="H152" s="203" t="s">
        <v>248</v>
      </c>
      <c r="I152" s="202">
        <v>181</v>
      </c>
      <c r="J152" s="202">
        <v>38902</v>
      </c>
      <c r="K152" s="202">
        <v>498827000</v>
      </c>
      <c r="L152" s="253"/>
      <c r="M152" s="254">
        <v>2019</v>
      </c>
      <c r="N152" s="254">
        <v>1370</v>
      </c>
      <c r="O152" s="255" t="s">
        <v>255</v>
      </c>
      <c r="P152" s="254">
        <v>410</v>
      </c>
      <c r="Q152" s="254">
        <v>226</v>
      </c>
      <c r="R152" s="255" t="s">
        <v>36</v>
      </c>
      <c r="S152" s="255" t="s">
        <v>137</v>
      </c>
      <c r="T152" s="350">
        <v>0</v>
      </c>
      <c r="U152" s="350">
        <v>0</v>
      </c>
      <c r="V152" s="350">
        <v>47445000</v>
      </c>
      <c r="W152" s="350">
        <v>0</v>
      </c>
      <c r="X152" s="350">
        <v>47445000</v>
      </c>
      <c r="AA152" s="272">
        <v>2019</v>
      </c>
      <c r="AB152" s="272">
        <v>3680</v>
      </c>
      <c r="AC152" s="273" t="s">
        <v>252</v>
      </c>
      <c r="AD152" s="272" t="s">
        <v>489</v>
      </c>
      <c r="AE152" s="272">
        <v>55</v>
      </c>
      <c r="AF152" s="274" t="s">
        <v>494</v>
      </c>
      <c r="AG152" s="272">
        <v>12968</v>
      </c>
      <c r="AH152" s="272">
        <v>383</v>
      </c>
      <c r="AI152" s="272">
        <v>12029</v>
      </c>
      <c r="AJ152" s="272">
        <v>1</v>
      </c>
      <c r="AK152" s="272">
        <v>1288406</v>
      </c>
      <c r="AL152" s="352">
        <v>107.10832155623909</v>
      </c>
      <c r="AX152" s="254">
        <v>2019</v>
      </c>
      <c r="AY152" s="254">
        <v>1550</v>
      </c>
      <c r="AZ152" s="255" t="s">
        <v>258</v>
      </c>
      <c r="BA152" s="254">
        <v>410</v>
      </c>
      <c r="BB152" s="254">
        <v>305</v>
      </c>
      <c r="BC152" s="255" t="s">
        <v>555</v>
      </c>
      <c r="BD152" s="255" t="s">
        <v>559</v>
      </c>
      <c r="BE152" s="350">
        <v>0</v>
      </c>
      <c r="BF152" s="350">
        <v>1558000</v>
      </c>
      <c r="BG152" s="350">
        <v>113547000</v>
      </c>
      <c r="BH152" s="350">
        <v>86000</v>
      </c>
      <c r="BI152" s="350">
        <v>115191000</v>
      </c>
      <c r="BX152" s="623"/>
      <c r="BY152" t="s">
        <v>1253</v>
      </c>
      <c r="BZ152" t="s">
        <v>1254</v>
      </c>
      <c r="CA152">
        <v>1</v>
      </c>
      <c r="CB152">
        <v>1</v>
      </c>
      <c r="CC152" t="s">
        <v>700</v>
      </c>
      <c r="CD152" s="286">
        <v>1440</v>
      </c>
      <c r="CE152" s="296">
        <v>18720</v>
      </c>
      <c r="CF152" s="261">
        <v>1856160</v>
      </c>
      <c r="CG152" s="261">
        <v>1221497</v>
      </c>
      <c r="CH152" s="202">
        <v>7</v>
      </c>
      <c r="CI152" s="261">
        <f t="shared" si="111"/>
        <v>1047.1475692534934</v>
      </c>
      <c r="CJ152" s="261">
        <f t="shared" si="112"/>
        <v>19602602.496425398</v>
      </c>
      <c r="CL152">
        <v>9680</v>
      </c>
      <c r="CM152" s="299">
        <v>2019</v>
      </c>
      <c r="CN152" s="299">
        <v>1370</v>
      </c>
      <c r="CO152" s="300" t="s">
        <v>255</v>
      </c>
      <c r="CP152" s="299">
        <v>755</v>
      </c>
      <c r="CQ152" s="299">
        <v>127</v>
      </c>
      <c r="CR152" s="294" t="s">
        <v>432</v>
      </c>
      <c r="CS152" s="294" t="s">
        <v>433</v>
      </c>
      <c r="CT152" s="294" t="s">
        <v>435</v>
      </c>
      <c r="CU152" s="301">
        <v>28559711</v>
      </c>
      <c r="DB152">
        <f t="shared" si="100"/>
        <v>24</v>
      </c>
      <c r="DC152" s="595" t="s">
        <v>837</v>
      </c>
      <c r="DD152" s="595" t="s">
        <v>838</v>
      </c>
      <c r="DE152" s="595" t="s">
        <v>687</v>
      </c>
      <c r="DF152" s="286">
        <v>15140</v>
      </c>
      <c r="DG152" s="286">
        <v>1421320.0000000002</v>
      </c>
      <c r="DH152" s="286">
        <v>75780390</v>
      </c>
      <c r="DI152" s="286">
        <v>50535545</v>
      </c>
      <c r="DJ152">
        <v>26</v>
      </c>
      <c r="DK152" s="643">
        <f t="shared" si="101"/>
        <v>528.3954317970871</v>
      </c>
      <c r="DL152" s="408">
        <f t="shared" si="102"/>
        <v>751018995.12183595</v>
      </c>
      <c r="DM152" s="286"/>
      <c r="DN152" s="286"/>
      <c r="FH152">
        <v>33</v>
      </c>
      <c r="FI152" t="s">
        <v>879</v>
      </c>
      <c r="FJ152" t="s">
        <v>880</v>
      </c>
      <c r="FK152" t="s">
        <v>686</v>
      </c>
      <c r="FL152" s="286">
        <v>240</v>
      </c>
      <c r="FM152" s="286">
        <v>24200</v>
      </c>
      <c r="FN152" s="286">
        <v>609589</v>
      </c>
      <c r="FO152" s="286">
        <v>464311</v>
      </c>
      <c r="FP152">
        <v>32</v>
      </c>
      <c r="FQ152" s="925">
        <v>1383.6810951873679</v>
      </c>
      <c r="FR152" s="926">
        <v>33485082.503534302</v>
      </c>
      <c r="FS152">
        <v>0</v>
      </c>
    </row>
    <row r="153" spans="1:178" ht="16" customHeight="1">
      <c r="A153">
        <v>2016</v>
      </c>
      <c r="B153">
        <v>3740</v>
      </c>
      <c r="C153" t="s">
        <v>244</v>
      </c>
      <c r="D153" t="s">
        <v>245</v>
      </c>
      <c r="E153" s="203">
        <v>92</v>
      </c>
      <c r="F153" s="203" t="s">
        <v>246</v>
      </c>
      <c r="G153" s="203" t="s">
        <v>247</v>
      </c>
      <c r="H153" s="204" t="s">
        <v>249</v>
      </c>
      <c r="I153" s="202">
        <v>241</v>
      </c>
      <c r="J153" s="202">
        <v>46138</v>
      </c>
      <c r="K153" s="202">
        <v>209610000</v>
      </c>
      <c r="L153" s="253"/>
      <c r="M153" s="254">
        <v>2019</v>
      </c>
      <c r="N153" s="254">
        <v>1370</v>
      </c>
      <c r="O153" s="255" t="s">
        <v>255</v>
      </c>
      <c r="P153" s="254">
        <v>410</v>
      </c>
      <c r="Q153" s="254">
        <v>227</v>
      </c>
      <c r="R153" s="255" t="s">
        <v>36</v>
      </c>
      <c r="S153" s="255" t="s">
        <v>138</v>
      </c>
      <c r="T153" s="350">
        <v>0</v>
      </c>
      <c r="U153" s="350">
        <v>0</v>
      </c>
      <c r="V153" s="350">
        <v>0</v>
      </c>
      <c r="W153" s="350">
        <v>0</v>
      </c>
      <c r="X153" s="350">
        <v>0</v>
      </c>
      <c r="AA153" s="272">
        <v>2019</v>
      </c>
      <c r="AB153" s="272">
        <v>3740</v>
      </c>
      <c r="AC153" s="273" t="s">
        <v>244</v>
      </c>
      <c r="AD153" s="272" t="s">
        <v>489</v>
      </c>
      <c r="AE153" s="272">
        <v>36</v>
      </c>
      <c r="AF153" s="274" t="s">
        <v>387</v>
      </c>
      <c r="AG153" s="272">
        <v>0</v>
      </c>
      <c r="AH153" s="272">
        <v>0</v>
      </c>
      <c r="AI153" s="272">
        <v>0</v>
      </c>
      <c r="AJ153" s="272">
        <v>0</v>
      </c>
      <c r="AK153" s="272">
        <v>0</v>
      </c>
      <c r="AL153" s="352">
        <v>0</v>
      </c>
      <c r="AX153" s="254">
        <v>2019</v>
      </c>
      <c r="AY153" s="254">
        <v>1550</v>
      </c>
      <c r="AZ153" s="255" t="s">
        <v>258</v>
      </c>
      <c r="BA153" s="254">
        <v>410</v>
      </c>
      <c r="BB153" s="254">
        <v>306</v>
      </c>
      <c r="BC153" s="255" t="s">
        <v>555</v>
      </c>
      <c r="BD153" s="255" t="s">
        <v>560</v>
      </c>
      <c r="BE153" s="350">
        <v>157000</v>
      </c>
      <c r="BF153" s="350">
        <v>200000</v>
      </c>
      <c r="BG153" s="350">
        <v>83000</v>
      </c>
      <c r="BH153" s="350">
        <v>0</v>
      </c>
      <c r="BI153" s="350">
        <v>440000</v>
      </c>
      <c r="BX153" s="623"/>
      <c r="BY153" t="s">
        <v>1255</v>
      </c>
      <c r="BZ153" t="s">
        <v>1256</v>
      </c>
      <c r="CA153">
        <v>1</v>
      </c>
      <c r="CB153">
        <v>1</v>
      </c>
      <c r="CC153" t="s">
        <v>700</v>
      </c>
      <c r="CD153" s="286">
        <v>1560</v>
      </c>
      <c r="CE153" s="296">
        <v>29360</v>
      </c>
      <c r="CF153" s="261">
        <v>1901160</v>
      </c>
      <c r="CG153" s="261">
        <v>1706036</v>
      </c>
      <c r="CH153" s="202">
        <v>7</v>
      </c>
      <c r="CI153" s="261">
        <f t="shared" si="111"/>
        <v>1047.1475692534934</v>
      </c>
      <c r="CJ153" s="261">
        <f t="shared" si="112"/>
        <v>30744252.633282568</v>
      </c>
      <c r="CL153">
        <v>88960</v>
      </c>
      <c r="CM153" s="299">
        <v>2019</v>
      </c>
      <c r="CN153" s="299">
        <v>1370</v>
      </c>
      <c r="CO153" s="300" t="s">
        <v>255</v>
      </c>
      <c r="CP153" s="299">
        <v>755</v>
      </c>
      <c r="CQ153" s="299">
        <v>128</v>
      </c>
      <c r="CR153" s="294" t="s">
        <v>432</v>
      </c>
      <c r="CS153" s="294" t="s">
        <v>433</v>
      </c>
      <c r="CT153" s="294" t="s">
        <v>158</v>
      </c>
      <c r="CU153" s="301">
        <v>523232</v>
      </c>
      <c r="DB153">
        <f t="shared" si="100"/>
        <v>24</v>
      </c>
      <c r="DC153" s="595" t="s">
        <v>837</v>
      </c>
      <c r="DD153" s="595" t="s">
        <v>838</v>
      </c>
      <c r="DE153" s="595" t="s">
        <v>694</v>
      </c>
      <c r="DF153" s="286">
        <v>3560</v>
      </c>
      <c r="DG153" s="286">
        <v>322800</v>
      </c>
      <c r="DH153" s="286">
        <v>14934061</v>
      </c>
      <c r="DI153" s="286">
        <v>11465628.999999998</v>
      </c>
      <c r="DJ153">
        <v>26</v>
      </c>
      <c r="DK153" s="643">
        <f t="shared" si="101"/>
        <v>528.3954317970871</v>
      </c>
      <c r="DL153" s="408">
        <f t="shared" si="102"/>
        <v>170566045.38409972</v>
      </c>
      <c r="DM153" s="286"/>
      <c r="DN153" s="286"/>
      <c r="FH153">
        <v>42</v>
      </c>
      <c r="FI153" t="s">
        <v>889</v>
      </c>
      <c r="FJ153" t="s">
        <v>890</v>
      </c>
      <c r="FK153" t="s">
        <v>686</v>
      </c>
      <c r="FL153" s="286">
        <v>440</v>
      </c>
      <c r="FM153" s="286">
        <v>19200</v>
      </c>
      <c r="FN153" s="286">
        <v>816560</v>
      </c>
      <c r="FO153" s="286">
        <v>1599421</v>
      </c>
      <c r="FP153">
        <v>33</v>
      </c>
      <c r="FQ153" s="925">
        <v>3091.5868848384584</v>
      </c>
      <c r="FR153" s="926">
        <v>59358468.188898399</v>
      </c>
      <c r="FS153">
        <v>0</v>
      </c>
    </row>
    <row r="154" spans="1:178" ht="16" customHeight="1">
      <c r="A154">
        <v>2016</v>
      </c>
      <c r="B154">
        <v>3740</v>
      </c>
      <c r="C154" t="s">
        <v>244</v>
      </c>
      <c r="D154" t="s">
        <v>245</v>
      </c>
      <c r="E154" s="203">
        <v>93</v>
      </c>
      <c r="F154" s="203" t="s">
        <v>250</v>
      </c>
      <c r="G154" s="203" t="s">
        <v>247</v>
      </c>
      <c r="H154" s="203" t="s">
        <v>248</v>
      </c>
      <c r="I154" s="202">
        <v>650</v>
      </c>
      <c r="J154" s="202">
        <v>23975</v>
      </c>
      <c r="K154" s="202">
        <v>94757000</v>
      </c>
      <c r="L154" s="253"/>
      <c r="M154" s="254">
        <v>2019</v>
      </c>
      <c r="N154" s="254">
        <v>1370</v>
      </c>
      <c r="O154" s="255" t="s">
        <v>255</v>
      </c>
      <c r="P154" s="254">
        <v>410</v>
      </c>
      <c r="Q154" s="254">
        <v>228</v>
      </c>
      <c r="R154" s="255" t="s">
        <v>36</v>
      </c>
      <c r="S154" s="255" t="s">
        <v>139</v>
      </c>
      <c r="T154" s="350">
        <v>0</v>
      </c>
      <c r="U154" s="350">
        <v>0</v>
      </c>
      <c r="V154" s="350">
        <v>0</v>
      </c>
      <c r="W154" s="350">
        <v>0</v>
      </c>
      <c r="X154" s="350">
        <v>0</v>
      </c>
      <c r="AA154" s="272">
        <v>2019</v>
      </c>
      <c r="AB154" s="272">
        <v>3740</v>
      </c>
      <c r="AC154" s="273" t="s">
        <v>244</v>
      </c>
      <c r="AD154" s="272" t="s">
        <v>489</v>
      </c>
      <c r="AE154" s="272">
        <v>37</v>
      </c>
      <c r="AF154" s="274" t="s">
        <v>388</v>
      </c>
      <c r="AG154" s="272">
        <v>486</v>
      </c>
      <c r="AH154" s="272">
        <v>0</v>
      </c>
      <c r="AI154" s="272">
        <v>469</v>
      </c>
      <c r="AJ154" s="272">
        <v>0</v>
      </c>
      <c r="AK154" s="272">
        <v>38194</v>
      </c>
      <c r="AL154" s="352">
        <v>81.437100213219622</v>
      </c>
      <c r="AX154" s="254">
        <v>2019</v>
      </c>
      <c r="AY154" s="254">
        <v>1550</v>
      </c>
      <c r="AZ154" s="255" t="s">
        <v>258</v>
      </c>
      <c r="BA154" s="254">
        <v>410</v>
      </c>
      <c r="BB154" s="254">
        <v>307</v>
      </c>
      <c r="BC154" s="255" t="s">
        <v>555</v>
      </c>
      <c r="BD154" s="255" t="s">
        <v>561</v>
      </c>
      <c r="BE154" s="350">
        <v>1459000</v>
      </c>
      <c r="BF154" s="350">
        <v>1607000</v>
      </c>
      <c r="BG154" s="350">
        <v>17877000</v>
      </c>
      <c r="BH154" s="350">
        <v>2000</v>
      </c>
      <c r="BI154" s="350">
        <v>20945000</v>
      </c>
      <c r="BX154" s="623"/>
      <c r="BY154" t="s">
        <v>814</v>
      </c>
      <c r="BZ154" t="s">
        <v>815</v>
      </c>
      <c r="CA154">
        <v>1</v>
      </c>
      <c r="CB154">
        <v>1</v>
      </c>
      <c r="CC154" t="s">
        <v>700</v>
      </c>
      <c r="CD154" s="286">
        <v>2800</v>
      </c>
      <c r="CE154" s="296">
        <v>43360</v>
      </c>
      <c r="CF154" s="261">
        <v>3516004</v>
      </c>
      <c r="CG154" s="261">
        <v>2251118</v>
      </c>
      <c r="CH154" s="202">
        <v>7</v>
      </c>
      <c r="CI154" s="261">
        <f t="shared" si="111"/>
        <v>1047.1475692534934</v>
      </c>
      <c r="CJ154" s="261">
        <f t="shared" si="112"/>
        <v>45404318.602831475</v>
      </c>
      <c r="CL154">
        <v>5040</v>
      </c>
      <c r="CM154" s="299">
        <v>2019</v>
      </c>
      <c r="CN154" s="299">
        <v>1370</v>
      </c>
      <c r="CO154" s="300" t="s">
        <v>255</v>
      </c>
      <c r="CP154" s="299">
        <v>755</v>
      </c>
      <c r="CQ154" s="299">
        <v>129</v>
      </c>
      <c r="CR154" s="294" t="s">
        <v>432</v>
      </c>
      <c r="CS154" s="294" t="s">
        <v>433</v>
      </c>
      <c r="CT154" s="294" t="s">
        <v>436</v>
      </c>
      <c r="CU154" s="301">
        <v>29082943</v>
      </c>
      <c r="DB154">
        <f t="shared" si="100"/>
        <v>24</v>
      </c>
      <c r="DC154" s="595" t="s">
        <v>1057</v>
      </c>
      <c r="DD154" s="595" t="s">
        <v>1058</v>
      </c>
      <c r="DE154" s="595" t="s">
        <v>694</v>
      </c>
      <c r="DF154" s="286">
        <v>3000</v>
      </c>
      <c r="DG154" s="286">
        <v>302080</v>
      </c>
      <c r="DH154" s="286">
        <v>25405560</v>
      </c>
      <c r="DI154" s="286">
        <v>17261690.000000004</v>
      </c>
      <c r="DJ154">
        <v>26</v>
      </c>
      <c r="DK154" s="643">
        <f t="shared" si="101"/>
        <v>528.3954317970871</v>
      </c>
      <c r="DL154" s="408">
        <f t="shared" si="102"/>
        <v>159617692.03726408</v>
      </c>
      <c r="DM154" s="286"/>
      <c r="DN154" s="286"/>
      <c r="FH154">
        <v>42</v>
      </c>
      <c r="FI154" t="s">
        <v>891</v>
      </c>
      <c r="FJ154" t="s">
        <v>892</v>
      </c>
      <c r="FK154" t="s">
        <v>686</v>
      </c>
      <c r="FL154" s="286">
        <v>760</v>
      </c>
      <c r="FM154" s="286">
        <v>26520</v>
      </c>
      <c r="FN154" s="286">
        <v>1439520</v>
      </c>
      <c r="FO154" s="286">
        <v>2484321</v>
      </c>
      <c r="FP154">
        <v>33</v>
      </c>
      <c r="FQ154" s="925">
        <v>3091.5868848384584</v>
      </c>
      <c r="FR154" s="926">
        <v>81988884.185915917</v>
      </c>
      <c r="FS154">
        <v>0</v>
      </c>
    </row>
    <row r="155" spans="1:178" ht="16" customHeight="1">
      <c r="A155">
        <v>2016</v>
      </c>
      <c r="B155">
        <v>3740</v>
      </c>
      <c r="C155" t="s">
        <v>244</v>
      </c>
      <c r="D155" t="s">
        <v>245</v>
      </c>
      <c r="E155" s="203">
        <v>94</v>
      </c>
      <c r="F155" s="203" t="s">
        <v>250</v>
      </c>
      <c r="G155" s="203" t="s">
        <v>247</v>
      </c>
      <c r="H155" s="204" t="s">
        <v>249</v>
      </c>
      <c r="I155" s="202">
        <v>0</v>
      </c>
      <c r="J155" s="202">
        <v>0</v>
      </c>
      <c r="K155" s="202">
        <v>0</v>
      </c>
      <c r="L155" s="253"/>
      <c r="M155" s="254">
        <v>2019</v>
      </c>
      <c r="N155" s="254">
        <v>1370</v>
      </c>
      <c r="O155" s="255" t="s">
        <v>255</v>
      </c>
      <c r="P155" s="254">
        <v>410</v>
      </c>
      <c r="Q155" s="254">
        <v>229</v>
      </c>
      <c r="R155" s="255" t="s">
        <v>36</v>
      </c>
      <c r="S155" s="255" t="s">
        <v>140</v>
      </c>
      <c r="T155" s="350">
        <v>0</v>
      </c>
      <c r="U155" s="350">
        <v>0</v>
      </c>
      <c r="V155" s="350">
        <v>0</v>
      </c>
      <c r="W155" s="350">
        <v>0</v>
      </c>
      <c r="X155" s="350">
        <v>0</v>
      </c>
      <c r="AA155" s="272">
        <v>2019</v>
      </c>
      <c r="AB155" s="272">
        <v>3740</v>
      </c>
      <c r="AC155" s="273" t="s">
        <v>244</v>
      </c>
      <c r="AD155" s="272" t="s">
        <v>489</v>
      </c>
      <c r="AE155" s="272">
        <v>38</v>
      </c>
      <c r="AF155" s="274" t="s">
        <v>389</v>
      </c>
      <c r="AG155" s="272">
        <v>9335</v>
      </c>
      <c r="AH155" s="272">
        <v>0</v>
      </c>
      <c r="AI155" s="272">
        <v>8600</v>
      </c>
      <c r="AJ155" s="272">
        <v>0</v>
      </c>
      <c r="AK155" s="272">
        <v>705670</v>
      </c>
      <c r="AL155" s="352">
        <v>82.054651162790691</v>
      </c>
      <c r="AX155" s="254">
        <v>2019</v>
      </c>
      <c r="AY155" s="254">
        <v>1550</v>
      </c>
      <c r="AZ155" s="255" t="s">
        <v>258</v>
      </c>
      <c r="BA155" s="254">
        <v>410</v>
      </c>
      <c r="BB155" s="254">
        <v>308</v>
      </c>
      <c r="BC155" s="255" t="s">
        <v>555</v>
      </c>
      <c r="BD155" s="255" t="s">
        <v>560</v>
      </c>
      <c r="BE155" s="350">
        <v>0</v>
      </c>
      <c r="BF155" s="350">
        <v>0</v>
      </c>
      <c r="BG155" s="350">
        <v>0</v>
      </c>
      <c r="BH155" s="350">
        <v>0</v>
      </c>
      <c r="BI155" s="350">
        <v>0</v>
      </c>
      <c r="BX155" s="623"/>
      <c r="BY155" t="s">
        <v>1257</v>
      </c>
      <c r="BZ155" t="s">
        <v>1258</v>
      </c>
      <c r="CA155">
        <v>1</v>
      </c>
      <c r="CB155">
        <v>1</v>
      </c>
      <c r="CC155" t="s">
        <v>700</v>
      </c>
      <c r="CD155" s="286">
        <v>4840</v>
      </c>
      <c r="CE155" s="296">
        <v>98600</v>
      </c>
      <c r="CF155" s="261">
        <v>4748093</v>
      </c>
      <c r="CG155" s="261">
        <v>4469990</v>
      </c>
      <c r="CH155" s="202">
        <v>7</v>
      </c>
      <c r="CI155" s="261">
        <f t="shared" si="111"/>
        <v>1047.1475692534934</v>
      </c>
      <c r="CJ155" s="261">
        <f t="shared" si="112"/>
        <v>103248750.32839446</v>
      </c>
      <c r="CL155">
        <v>8760</v>
      </c>
      <c r="CM155" s="299">
        <v>2019</v>
      </c>
      <c r="CN155" s="299">
        <v>1370</v>
      </c>
      <c r="CO155" s="300" t="s">
        <v>255</v>
      </c>
      <c r="CP155" s="299">
        <v>755</v>
      </c>
      <c r="CQ155" s="299">
        <v>130</v>
      </c>
      <c r="CR155" s="294" t="s">
        <v>437</v>
      </c>
      <c r="CS155" s="294" t="s">
        <v>438</v>
      </c>
      <c r="CT155" s="294" t="s">
        <v>439</v>
      </c>
      <c r="CU155" s="301">
        <v>4300</v>
      </c>
      <c r="DB155">
        <f t="shared" si="100"/>
        <v>24</v>
      </c>
      <c r="DC155" s="595" t="s">
        <v>1059</v>
      </c>
      <c r="DD155" s="595" t="s">
        <v>1060</v>
      </c>
      <c r="DE155" s="595" t="s">
        <v>694</v>
      </c>
      <c r="DF155" s="286">
        <v>8680</v>
      </c>
      <c r="DG155" s="286">
        <v>859320</v>
      </c>
      <c r="DH155" s="286">
        <v>51650860</v>
      </c>
      <c r="DI155" s="286">
        <v>34713355</v>
      </c>
      <c r="DJ155">
        <v>39</v>
      </c>
      <c r="DK155" s="643">
        <f t="shared" si="101"/>
        <v>5387.04129053214</v>
      </c>
      <c r="DL155" s="408">
        <f t="shared" si="102"/>
        <v>4629192321.7800789</v>
      </c>
      <c r="DM155" s="286"/>
      <c r="DN155" s="286"/>
      <c r="FH155">
        <v>37</v>
      </c>
      <c r="FI155" t="s">
        <v>883</v>
      </c>
      <c r="FJ155" t="s">
        <v>884</v>
      </c>
      <c r="FK155" t="s">
        <v>686</v>
      </c>
      <c r="FL155" s="286">
        <v>1312</v>
      </c>
      <c r="FM155" s="286">
        <v>40320</v>
      </c>
      <c r="FN155" s="286">
        <v>2552040</v>
      </c>
      <c r="FO155" s="286">
        <v>2734081</v>
      </c>
      <c r="FP155">
        <v>36</v>
      </c>
      <c r="FQ155" s="925">
        <v>7463.6077432689826</v>
      </c>
      <c r="FR155" s="926">
        <v>300932664.20860541</v>
      </c>
      <c r="FS155">
        <v>0</v>
      </c>
    </row>
    <row r="156" spans="1:178" ht="16" customHeight="1">
      <c r="A156">
        <v>2016</v>
      </c>
      <c r="B156">
        <v>3740</v>
      </c>
      <c r="C156" t="s">
        <v>244</v>
      </c>
      <c r="D156" t="s">
        <v>245</v>
      </c>
      <c r="E156" s="203">
        <v>97</v>
      </c>
      <c r="F156" s="203" t="s">
        <v>251</v>
      </c>
      <c r="G156" s="203" t="s">
        <v>247</v>
      </c>
      <c r="H156" s="203" t="s">
        <v>248</v>
      </c>
      <c r="I156" s="202">
        <v>80</v>
      </c>
      <c r="J156" s="202">
        <v>412</v>
      </c>
      <c r="K156" s="202">
        <v>1450000</v>
      </c>
      <c r="L156" s="253"/>
      <c r="M156" s="254">
        <v>2019</v>
      </c>
      <c r="N156" s="254">
        <v>1370</v>
      </c>
      <c r="O156" s="255" t="s">
        <v>255</v>
      </c>
      <c r="P156" s="254">
        <v>410</v>
      </c>
      <c r="Q156" s="254">
        <v>230</v>
      </c>
      <c r="R156" s="255" t="s">
        <v>36</v>
      </c>
      <c r="S156" s="255" t="s">
        <v>141</v>
      </c>
      <c r="T156" s="350">
        <v>0</v>
      </c>
      <c r="U156" s="350">
        <v>0</v>
      </c>
      <c r="V156" s="350">
        <v>115543000</v>
      </c>
      <c r="W156" s="350">
        <v>0</v>
      </c>
      <c r="X156" s="350">
        <v>115543000</v>
      </c>
      <c r="AA156" s="272">
        <v>2019</v>
      </c>
      <c r="AB156" s="272">
        <v>3740</v>
      </c>
      <c r="AC156" s="273" t="s">
        <v>244</v>
      </c>
      <c r="AD156" s="272" t="s">
        <v>489</v>
      </c>
      <c r="AE156" s="272">
        <v>39</v>
      </c>
      <c r="AF156" s="274" t="s">
        <v>390</v>
      </c>
      <c r="AG156" s="272">
        <v>3535</v>
      </c>
      <c r="AH156" s="272">
        <v>0</v>
      </c>
      <c r="AI156" s="272">
        <v>3454</v>
      </c>
      <c r="AJ156" s="272">
        <v>0</v>
      </c>
      <c r="AK156" s="272">
        <v>408522</v>
      </c>
      <c r="AL156" s="352">
        <v>118.27504342790967</v>
      </c>
      <c r="AX156" s="254">
        <v>2019</v>
      </c>
      <c r="AY156" s="254">
        <v>1550</v>
      </c>
      <c r="AZ156" s="255" t="s">
        <v>258</v>
      </c>
      <c r="BA156" s="254">
        <v>410</v>
      </c>
      <c r="BB156" s="254">
        <v>309</v>
      </c>
      <c r="BC156" s="255" t="s">
        <v>555</v>
      </c>
      <c r="BD156" s="255" t="s">
        <v>200</v>
      </c>
      <c r="BE156" s="350">
        <v>0</v>
      </c>
      <c r="BF156" s="350">
        <v>0</v>
      </c>
      <c r="BG156" s="350">
        <v>0</v>
      </c>
      <c r="BH156" s="350">
        <v>3039000</v>
      </c>
      <c r="BI156" s="350">
        <v>3039000</v>
      </c>
      <c r="BX156" s="623"/>
      <c r="BY156" t="s">
        <v>816</v>
      </c>
      <c r="BZ156" t="s">
        <v>817</v>
      </c>
      <c r="CA156">
        <v>1</v>
      </c>
      <c r="CB156">
        <v>1</v>
      </c>
      <c r="CC156" t="s">
        <v>700</v>
      </c>
      <c r="CD156" s="286">
        <v>1680</v>
      </c>
      <c r="CE156" s="296">
        <v>30880</v>
      </c>
      <c r="CF156" s="261">
        <v>2592086</v>
      </c>
      <c r="CG156" s="261">
        <v>1588938</v>
      </c>
      <c r="CH156" s="202">
        <v>7</v>
      </c>
      <c r="CI156" s="261">
        <f t="shared" si="111"/>
        <v>1047.1475692534934</v>
      </c>
      <c r="CJ156" s="261">
        <f t="shared" si="112"/>
        <v>32335916.938547876</v>
      </c>
      <c r="CL156">
        <v>47400</v>
      </c>
      <c r="CM156" s="299">
        <v>2019</v>
      </c>
      <c r="CN156" s="299">
        <v>1370</v>
      </c>
      <c r="CO156" s="300" t="s">
        <v>255</v>
      </c>
      <c r="CP156" s="299">
        <v>755</v>
      </c>
      <c r="CQ156" s="299">
        <v>131</v>
      </c>
      <c r="CR156" s="294" t="s">
        <v>437</v>
      </c>
      <c r="CS156" s="294" t="s">
        <v>438</v>
      </c>
      <c r="CT156" s="294" t="s">
        <v>440</v>
      </c>
      <c r="CU156" s="301">
        <v>0</v>
      </c>
      <c r="DB156">
        <f t="shared" si="100"/>
        <v>26</v>
      </c>
      <c r="DC156" s="595" t="s">
        <v>839</v>
      </c>
      <c r="DD156" s="595" t="s">
        <v>840</v>
      </c>
      <c r="DE156" s="595" t="s">
        <v>687</v>
      </c>
      <c r="DF156" s="286">
        <v>83124</v>
      </c>
      <c r="DG156" s="286">
        <v>7240031.9999999991</v>
      </c>
      <c r="DH156" s="286">
        <v>305535255</v>
      </c>
      <c r="DI156" s="286">
        <v>222978497.00000003</v>
      </c>
      <c r="DJ156">
        <v>27</v>
      </c>
      <c r="DK156" s="643">
        <f t="shared" si="101"/>
        <v>985.37071332586186</v>
      </c>
      <c r="DL156" s="408">
        <f t="shared" si="102"/>
        <v>7134115496.3420658</v>
      </c>
      <c r="DM156" s="286"/>
      <c r="DN156" s="286"/>
      <c r="FH156">
        <v>40</v>
      </c>
      <c r="FI156" t="s">
        <v>887</v>
      </c>
      <c r="FJ156" t="s">
        <v>888</v>
      </c>
      <c r="FK156" t="s">
        <v>686</v>
      </c>
      <c r="FL156" s="286">
        <v>4960</v>
      </c>
      <c r="FM156" s="286">
        <v>282360</v>
      </c>
      <c r="FN156" s="286">
        <v>15383718</v>
      </c>
      <c r="FO156" s="286">
        <v>11766978</v>
      </c>
      <c r="FP156">
        <v>41</v>
      </c>
      <c r="FQ156" s="925">
        <v>143.17663014662168</v>
      </c>
      <c r="FR156" s="926">
        <v>40427353.288200095</v>
      </c>
      <c r="FS156">
        <v>0</v>
      </c>
    </row>
    <row r="157" spans="1:178" ht="16" customHeight="1">
      <c r="A157">
        <v>2016</v>
      </c>
      <c r="B157">
        <v>3740</v>
      </c>
      <c r="C157" t="s">
        <v>244</v>
      </c>
      <c r="D157" t="s">
        <v>245</v>
      </c>
      <c r="E157" s="203">
        <v>98</v>
      </c>
      <c r="F157" s="203" t="s">
        <v>251</v>
      </c>
      <c r="G157" s="203" t="s">
        <v>247</v>
      </c>
      <c r="H157" s="204" t="s">
        <v>249</v>
      </c>
      <c r="I157" s="202">
        <v>0</v>
      </c>
      <c r="J157" s="202">
        <v>0</v>
      </c>
      <c r="K157" s="202">
        <v>0</v>
      </c>
      <c r="L157" s="253"/>
      <c r="M157" s="254">
        <v>2019</v>
      </c>
      <c r="N157" s="254">
        <v>1370</v>
      </c>
      <c r="O157" s="255" t="s">
        <v>255</v>
      </c>
      <c r="P157" s="254">
        <v>410</v>
      </c>
      <c r="Q157" s="254">
        <v>231</v>
      </c>
      <c r="R157" s="255" t="s">
        <v>36</v>
      </c>
      <c r="S157" s="255" t="s">
        <v>142</v>
      </c>
      <c r="T157" s="350">
        <v>0</v>
      </c>
      <c r="U157" s="350">
        <v>0</v>
      </c>
      <c r="V157" s="350">
        <v>-79957000</v>
      </c>
      <c r="W157" s="350">
        <v>0</v>
      </c>
      <c r="X157" s="350">
        <v>-79957000</v>
      </c>
      <c r="AA157" s="272">
        <v>2019</v>
      </c>
      <c r="AB157" s="272">
        <v>3740</v>
      </c>
      <c r="AC157" s="273" t="s">
        <v>244</v>
      </c>
      <c r="AD157" s="272" t="s">
        <v>489</v>
      </c>
      <c r="AE157" s="272">
        <v>40</v>
      </c>
      <c r="AF157" s="274" t="s">
        <v>391</v>
      </c>
      <c r="AG157" s="272">
        <v>4703</v>
      </c>
      <c r="AH157" s="272">
        <v>0</v>
      </c>
      <c r="AI157" s="272">
        <v>4360</v>
      </c>
      <c r="AJ157" s="272">
        <v>0</v>
      </c>
      <c r="AK157" s="272">
        <v>443259</v>
      </c>
      <c r="AL157" s="352">
        <v>101.66490825688074</v>
      </c>
      <c r="AX157" s="254">
        <v>2019</v>
      </c>
      <c r="AY157" s="254">
        <v>1550</v>
      </c>
      <c r="AZ157" s="255" t="s">
        <v>258</v>
      </c>
      <c r="BA157" s="254">
        <v>410</v>
      </c>
      <c r="BB157" s="254">
        <v>310</v>
      </c>
      <c r="BC157" s="255" t="s">
        <v>555</v>
      </c>
      <c r="BD157" s="255" t="s">
        <v>201</v>
      </c>
      <c r="BE157" s="350">
        <v>0</v>
      </c>
      <c r="BF157" s="350">
        <v>0</v>
      </c>
      <c r="BG157" s="350">
        <v>0</v>
      </c>
      <c r="BH157" s="350">
        <v>6362000</v>
      </c>
      <c r="BI157" s="350">
        <v>6362000</v>
      </c>
      <c r="BX157" s="623"/>
      <c r="BY157" t="s">
        <v>1259</v>
      </c>
      <c r="BZ157" t="s">
        <v>1260</v>
      </c>
      <c r="CA157">
        <v>1</v>
      </c>
      <c r="CB157">
        <v>1</v>
      </c>
      <c r="CC157" t="s">
        <v>700</v>
      </c>
      <c r="CD157" s="286">
        <v>5440</v>
      </c>
      <c r="CE157" s="296">
        <v>88640</v>
      </c>
      <c r="CF157" s="261">
        <v>9228076</v>
      </c>
      <c r="CG157" s="261">
        <v>5618555</v>
      </c>
      <c r="CH157" s="202">
        <v>7</v>
      </c>
      <c r="CI157" s="261">
        <f t="shared" si="111"/>
        <v>1047.1475692534934</v>
      </c>
      <c r="CJ157" s="261">
        <f t="shared" si="112"/>
        <v>92819160.538629651</v>
      </c>
      <c r="CL157">
        <v>49452</v>
      </c>
      <c r="CM157" s="299">
        <v>2019</v>
      </c>
      <c r="CN157" s="299">
        <v>1370</v>
      </c>
      <c r="CO157" s="300" t="s">
        <v>255</v>
      </c>
      <c r="CP157" s="299">
        <v>755</v>
      </c>
      <c r="CQ157" s="299">
        <v>132</v>
      </c>
      <c r="CR157" s="294" t="s">
        <v>437</v>
      </c>
      <c r="CS157" s="294" t="s">
        <v>441</v>
      </c>
      <c r="CT157" s="294" t="s">
        <v>442</v>
      </c>
      <c r="CU157" s="301">
        <v>0</v>
      </c>
      <c r="DB157">
        <f t="shared" si="100"/>
        <v>26</v>
      </c>
      <c r="DC157" s="595" t="s">
        <v>839</v>
      </c>
      <c r="DD157" s="595" t="s">
        <v>840</v>
      </c>
      <c r="DE157" s="595" t="s">
        <v>686</v>
      </c>
      <c r="DF157" s="286">
        <v>11708</v>
      </c>
      <c r="DG157" s="286">
        <v>959568</v>
      </c>
      <c r="DH157" s="286">
        <v>43367575.000000007</v>
      </c>
      <c r="DI157" s="286">
        <v>35157187</v>
      </c>
      <c r="DJ157">
        <v>27</v>
      </c>
      <c r="DK157" s="643">
        <f t="shared" si="101"/>
        <v>985.37071332586186</v>
      </c>
      <c r="DL157" s="408">
        <f t="shared" si="102"/>
        <v>945530204.64467061</v>
      </c>
      <c r="DM157" s="286"/>
      <c r="DN157" s="286"/>
      <c r="FL157" s="286">
        <f>SUM(FL140:FL156)</f>
        <v>82700</v>
      </c>
      <c r="FM157" s="286">
        <f>SUM(FM140:FM156)</f>
        <v>5955488</v>
      </c>
      <c r="FN157" s="286"/>
      <c r="FO157" s="286"/>
      <c r="FQ157" s="925">
        <f>FR157/FM157</f>
        <v>1163.9690976033612</v>
      </c>
      <c r="FR157" s="408">
        <f>SUM(FR140:FR156)</f>
        <v>6932003993.1476469</v>
      </c>
      <c r="FT157" s="927">
        <f>-1*(PMT($EA$23,$EA$24,FQ157,$EA$25*FQ157)/(365*24))</f>
        <v>0.15078448994980528</v>
      </c>
      <c r="FU157" s="790">
        <f>FT157*FV157</f>
        <v>10.858466994947834</v>
      </c>
      <c r="FV157" s="788">
        <f>FM157/FL157</f>
        <v>72.013155985489718</v>
      </c>
    </row>
    <row r="158" spans="1:178" ht="16" customHeight="1">
      <c r="A158">
        <v>2016</v>
      </c>
      <c r="B158">
        <v>3680</v>
      </c>
      <c r="C158" t="s">
        <v>252</v>
      </c>
      <c r="D158" t="s">
        <v>245</v>
      </c>
      <c r="E158" s="203">
        <v>91</v>
      </c>
      <c r="F158" s="203" t="s">
        <v>246</v>
      </c>
      <c r="G158" s="203" t="s">
        <v>247</v>
      </c>
      <c r="H158" s="203" t="s">
        <v>248</v>
      </c>
      <c r="I158" s="202">
        <v>8</v>
      </c>
      <c r="J158" s="202">
        <v>1572</v>
      </c>
      <c r="K158" s="202">
        <v>14233000</v>
      </c>
      <c r="L158" s="253"/>
      <c r="M158" s="254">
        <v>2019</v>
      </c>
      <c r="N158" s="254">
        <v>1370</v>
      </c>
      <c r="O158" s="255" t="s">
        <v>255</v>
      </c>
      <c r="P158" s="254">
        <v>410</v>
      </c>
      <c r="Q158" s="254">
        <v>232</v>
      </c>
      <c r="R158" s="255" t="s">
        <v>36</v>
      </c>
      <c r="S158" s="255" t="s">
        <v>145</v>
      </c>
      <c r="T158" s="350">
        <v>0</v>
      </c>
      <c r="U158" s="350">
        <v>0</v>
      </c>
      <c r="V158" s="350">
        <v>0</v>
      </c>
      <c r="W158" s="350">
        <v>47200000</v>
      </c>
      <c r="X158" s="350">
        <v>47200000</v>
      </c>
      <c r="AA158" s="272">
        <v>2019</v>
      </c>
      <c r="AB158" s="272">
        <v>3740</v>
      </c>
      <c r="AC158" s="273" t="s">
        <v>244</v>
      </c>
      <c r="AD158" s="272" t="s">
        <v>489</v>
      </c>
      <c r="AE158" s="272">
        <v>41</v>
      </c>
      <c r="AF158" s="274" t="s">
        <v>392</v>
      </c>
      <c r="AG158" s="272">
        <v>25785</v>
      </c>
      <c r="AH158" s="272">
        <v>0</v>
      </c>
      <c r="AI158" s="272">
        <v>23084</v>
      </c>
      <c r="AJ158" s="272">
        <v>0</v>
      </c>
      <c r="AK158" s="272">
        <v>2508035</v>
      </c>
      <c r="AL158" s="352">
        <v>108.64819788598163</v>
      </c>
      <c r="AX158" s="254">
        <v>2019</v>
      </c>
      <c r="AY158" s="254">
        <v>1550</v>
      </c>
      <c r="AZ158" s="255" t="s">
        <v>258</v>
      </c>
      <c r="BA158" s="254">
        <v>410</v>
      </c>
      <c r="BB158" s="254">
        <v>311</v>
      </c>
      <c r="BC158" s="255" t="s">
        <v>555</v>
      </c>
      <c r="BD158" s="255" t="s">
        <v>137</v>
      </c>
      <c r="BE158" s="350">
        <v>0</v>
      </c>
      <c r="BF158" s="350">
        <v>0</v>
      </c>
      <c r="BG158" s="350">
        <v>1105000</v>
      </c>
      <c r="BH158" s="350">
        <v>0</v>
      </c>
      <c r="BI158" s="350">
        <v>1105000</v>
      </c>
      <c r="BX158" s="623"/>
      <c r="BY158" t="s">
        <v>933</v>
      </c>
      <c r="BZ158" t="s">
        <v>934</v>
      </c>
      <c r="CA158">
        <v>1</v>
      </c>
      <c r="CB158">
        <v>1</v>
      </c>
      <c r="CC158" t="s">
        <v>700</v>
      </c>
      <c r="CD158" s="286">
        <v>1880</v>
      </c>
      <c r="CE158" s="296">
        <v>34440</v>
      </c>
      <c r="CF158" s="261">
        <v>1890086</v>
      </c>
      <c r="CG158" s="261">
        <v>1357295</v>
      </c>
      <c r="CH158" s="202">
        <v>7</v>
      </c>
      <c r="CI158" s="261">
        <f t="shared" si="111"/>
        <v>1047.1475692534934</v>
      </c>
      <c r="CJ158" s="261">
        <f t="shared" si="112"/>
        <v>36063762.285090312</v>
      </c>
      <c r="CL158">
        <v>273120</v>
      </c>
      <c r="CM158" s="299">
        <v>2019</v>
      </c>
      <c r="CN158" s="299">
        <v>1370</v>
      </c>
      <c r="CO158" s="300" t="s">
        <v>255</v>
      </c>
      <c r="CP158" s="299">
        <v>755</v>
      </c>
      <c r="CQ158" s="299">
        <v>133</v>
      </c>
      <c r="CR158" s="294" t="s">
        <v>437</v>
      </c>
      <c r="CS158" s="294" t="s">
        <v>443</v>
      </c>
      <c r="CT158" s="294" t="s">
        <v>444</v>
      </c>
      <c r="CU158" s="301">
        <v>4300</v>
      </c>
      <c r="DB158">
        <f t="shared" si="100"/>
        <v>26</v>
      </c>
      <c r="DC158" s="595" t="s">
        <v>1121</v>
      </c>
      <c r="DD158" s="595" t="s">
        <v>1122</v>
      </c>
      <c r="DE158" s="595" t="s">
        <v>695</v>
      </c>
      <c r="DF158" s="286">
        <v>6000</v>
      </c>
      <c r="DG158" s="286">
        <v>527880</v>
      </c>
      <c r="DH158" s="286">
        <v>25861925</v>
      </c>
      <c r="DI158" s="286">
        <v>10991958</v>
      </c>
      <c r="DJ158">
        <v>27</v>
      </c>
      <c r="DK158" s="643">
        <f t="shared" si="101"/>
        <v>985.37071332586186</v>
      </c>
      <c r="DL158" s="408">
        <f t="shared" si="102"/>
        <v>520157492.15045595</v>
      </c>
      <c r="DM158" s="286"/>
      <c r="DN158" s="286"/>
      <c r="FL158" s="286"/>
      <c r="FM158" s="286"/>
      <c r="FN158" s="286"/>
      <c r="FO158" s="286"/>
      <c r="FQ158" s="925"/>
      <c r="FR158" s="926"/>
    </row>
    <row r="159" spans="1:178" ht="16" customHeight="1">
      <c r="A159">
        <v>2016</v>
      </c>
      <c r="B159">
        <v>3680</v>
      </c>
      <c r="C159" t="s">
        <v>252</v>
      </c>
      <c r="D159" t="s">
        <v>245</v>
      </c>
      <c r="E159" s="203">
        <v>92</v>
      </c>
      <c r="F159" s="203" t="s">
        <v>246</v>
      </c>
      <c r="G159" s="203" t="s">
        <v>247</v>
      </c>
      <c r="H159" s="204" t="s">
        <v>249</v>
      </c>
      <c r="I159" s="202">
        <v>0</v>
      </c>
      <c r="J159" s="202">
        <v>0</v>
      </c>
      <c r="K159" s="202">
        <v>0</v>
      </c>
      <c r="L159" s="253"/>
      <c r="M159" s="254">
        <v>2019</v>
      </c>
      <c r="N159" s="254">
        <v>1370</v>
      </c>
      <c r="O159" s="255" t="s">
        <v>255</v>
      </c>
      <c r="P159" s="254">
        <v>410</v>
      </c>
      <c r="Q159" s="254">
        <v>233</v>
      </c>
      <c r="R159" s="255" t="s">
        <v>36</v>
      </c>
      <c r="S159" s="255" t="s">
        <v>152</v>
      </c>
      <c r="T159" s="350">
        <v>0</v>
      </c>
      <c r="U159" s="350">
        <v>0</v>
      </c>
      <c r="V159" s="350">
        <v>0</v>
      </c>
      <c r="W159" s="350">
        <v>0</v>
      </c>
      <c r="X159" s="350">
        <v>0</v>
      </c>
      <c r="AA159" s="272">
        <v>2019</v>
      </c>
      <c r="AB159" s="272">
        <v>3740</v>
      </c>
      <c r="AC159" s="273" t="s">
        <v>244</v>
      </c>
      <c r="AD159" s="272" t="s">
        <v>489</v>
      </c>
      <c r="AE159" s="272">
        <v>42</v>
      </c>
      <c r="AF159" s="274" t="s">
        <v>393</v>
      </c>
      <c r="AG159" s="272">
        <v>6011</v>
      </c>
      <c r="AH159" s="272">
        <v>0</v>
      </c>
      <c r="AI159" s="272">
        <v>5320</v>
      </c>
      <c r="AJ159" s="272">
        <v>0</v>
      </c>
      <c r="AK159" s="272">
        <v>573216</v>
      </c>
      <c r="AL159" s="352">
        <v>107.74736842105263</v>
      </c>
      <c r="AX159" s="254">
        <v>2019</v>
      </c>
      <c r="AY159" s="254">
        <v>1550</v>
      </c>
      <c r="AZ159" s="255" t="s">
        <v>258</v>
      </c>
      <c r="BA159" s="254">
        <v>410</v>
      </c>
      <c r="BB159" s="254">
        <v>312</v>
      </c>
      <c r="BC159" s="255" t="s">
        <v>555</v>
      </c>
      <c r="BD159" s="255" t="s">
        <v>138</v>
      </c>
      <c r="BE159" s="350">
        <v>0</v>
      </c>
      <c r="BF159" s="350">
        <v>0</v>
      </c>
      <c r="BG159" s="350">
        <v>0</v>
      </c>
      <c r="BH159" s="350">
        <v>0</v>
      </c>
      <c r="BI159" s="350">
        <v>0</v>
      </c>
      <c r="BX159" s="623"/>
      <c r="BY159" t="s">
        <v>1261</v>
      </c>
      <c r="BZ159" t="s">
        <v>1262</v>
      </c>
      <c r="CA159">
        <v>1</v>
      </c>
      <c r="CB159">
        <v>1</v>
      </c>
      <c r="CC159" t="s">
        <v>700</v>
      </c>
      <c r="CD159" s="286">
        <v>1400</v>
      </c>
      <c r="CE159" s="296">
        <v>28880</v>
      </c>
      <c r="CF159" s="261">
        <v>2170720</v>
      </c>
      <c r="CG159" s="261">
        <v>1670446</v>
      </c>
      <c r="CH159" s="202">
        <v>7</v>
      </c>
      <c r="CI159" s="261">
        <f t="shared" si="111"/>
        <v>1047.1475692534934</v>
      </c>
      <c r="CJ159" s="261">
        <f t="shared" si="112"/>
        <v>30241621.80004089</v>
      </c>
      <c r="CL159">
        <v>216080</v>
      </c>
      <c r="CM159" s="299">
        <v>2019</v>
      </c>
      <c r="CN159" s="299">
        <v>1370</v>
      </c>
      <c r="CO159" s="300" t="s">
        <v>255</v>
      </c>
      <c r="CP159" s="299">
        <v>755</v>
      </c>
      <c r="CQ159" s="299">
        <v>134</v>
      </c>
      <c r="CR159" s="294" t="s">
        <v>445</v>
      </c>
      <c r="CS159" s="294" t="s">
        <v>446</v>
      </c>
      <c r="CT159" s="294" t="s">
        <v>447</v>
      </c>
      <c r="CU159" s="301">
        <v>559</v>
      </c>
      <c r="DB159">
        <f t="shared" si="100"/>
        <v>26</v>
      </c>
      <c r="DC159" s="595" t="s">
        <v>841</v>
      </c>
      <c r="DD159" s="595" t="s">
        <v>842</v>
      </c>
      <c r="DE159" s="595" t="s">
        <v>687</v>
      </c>
      <c r="DF159" s="286">
        <v>10600</v>
      </c>
      <c r="DG159" s="286">
        <v>837680</v>
      </c>
      <c r="DH159" s="286">
        <v>49798284.000000007</v>
      </c>
      <c r="DI159" s="286">
        <v>39185469</v>
      </c>
      <c r="DJ159">
        <v>27</v>
      </c>
      <c r="DK159" s="643">
        <f t="shared" si="101"/>
        <v>985.37071332586186</v>
      </c>
      <c r="DL159" s="408">
        <f t="shared" si="102"/>
        <v>825425339.13880801</v>
      </c>
      <c r="DM159" s="286"/>
      <c r="DN159" s="286"/>
      <c r="FH159">
        <v>1</v>
      </c>
      <c r="FI159" t="s">
        <v>893</v>
      </c>
      <c r="FJ159" t="s">
        <v>894</v>
      </c>
      <c r="FK159" t="s">
        <v>690</v>
      </c>
      <c r="FL159" s="286">
        <v>16720</v>
      </c>
      <c r="FM159" s="286">
        <v>1615060</v>
      </c>
      <c r="FN159" s="286">
        <v>56989170</v>
      </c>
      <c r="FO159" s="286">
        <v>29101042</v>
      </c>
      <c r="FP159">
        <v>2</v>
      </c>
      <c r="FQ159" s="925">
        <v>122.96653784550514</v>
      </c>
      <c r="FR159" s="926">
        <v>198598336.61276153</v>
      </c>
      <c r="FS159">
        <v>0</v>
      </c>
    </row>
    <row r="160" spans="1:178" ht="16" customHeight="1">
      <c r="A160">
        <v>2016</v>
      </c>
      <c r="B160">
        <v>3680</v>
      </c>
      <c r="C160" t="s">
        <v>252</v>
      </c>
      <c r="D160" t="s">
        <v>245</v>
      </c>
      <c r="E160" s="203">
        <v>93</v>
      </c>
      <c r="F160" s="203" t="s">
        <v>250</v>
      </c>
      <c r="G160" s="203" t="s">
        <v>247</v>
      </c>
      <c r="H160" s="203" t="s">
        <v>248</v>
      </c>
      <c r="I160" s="202">
        <v>0</v>
      </c>
      <c r="J160" s="202">
        <v>0</v>
      </c>
      <c r="K160" s="202">
        <v>0</v>
      </c>
      <c r="L160" s="253"/>
      <c r="M160" s="254">
        <v>2019</v>
      </c>
      <c r="N160" s="254">
        <v>1370</v>
      </c>
      <c r="O160" s="255" t="s">
        <v>255</v>
      </c>
      <c r="P160" s="254">
        <v>410</v>
      </c>
      <c r="Q160" s="254">
        <v>234</v>
      </c>
      <c r="R160" s="255" t="s">
        <v>36</v>
      </c>
      <c r="S160" s="255" t="s">
        <v>153</v>
      </c>
      <c r="T160" s="350">
        <v>0</v>
      </c>
      <c r="U160" s="350">
        <v>0</v>
      </c>
      <c r="V160" s="350">
        <v>0</v>
      </c>
      <c r="W160" s="350">
        <v>0</v>
      </c>
      <c r="X160" s="350">
        <v>0</v>
      </c>
      <c r="AA160" s="272">
        <v>2019</v>
      </c>
      <c r="AB160" s="272">
        <v>3740</v>
      </c>
      <c r="AC160" s="273" t="s">
        <v>244</v>
      </c>
      <c r="AD160" s="272" t="s">
        <v>489</v>
      </c>
      <c r="AE160" s="272">
        <v>43</v>
      </c>
      <c r="AF160" s="274" t="s">
        <v>394</v>
      </c>
      <c r="AG160" s="272">
        <v>2863</v>
      </c>
      <c r="AH160" s="272">
        <v>0</v>
      </c>
      <c r="AI160" s="272">
        <v>2791</v>
      </c>
      <c r="AJ160" s="272">
        <v>0</v>
      </c>
      <c r="AK160" s="272">
        <v>326128</v>
      </c>
      <c r="AL160" s="352">
        <v>116.84987459691867</v>
      </c>
      <c r="AX160" s="254">
        <v>2019</v>
      </c>
      <c r="AY160" s="254">
        <v>1550</v>
      </c>
      <c r="AZ160" s="255" t="s">
        <v>258</v>
      </c>
      <c r="BA160" s="254">
        <v>410</v>
      </c>
      <c r="BB160" s="254">
        <v>313</v>
      </c>
      <c r="BC160" s="255" t="s">
        <v>555</v>
      </c>
      <c r="BD160" s="255" t="s">
        <v>139</v>
      </c>
      <c r="BE160" s="350">
        <v>0</v>
      </c>
      <c r="BF160" s="350">
        <v>0</v>
      </c>
      <c r="BG160" s="350">
        <v>159000</v>
      </c>
      <c r="BH160" s="350">
        <v>0</v>
      </c>
      <c r="BI160" s="350">
        <v>159000</v>
      </c>
      <c r="BX160" s="623"/>
      <c r="BY160" t="s">
        <v>1263</v>
      </c>
      <c r="BZ160" t="s">
        <v>1264</v>
      </c>
      <c r="CA160">
        <v>1</v>
      </c>
      <c r="CB160">
        <v>1</v>
      </c>
      <c r="CC160" t="s">
        <v>700</v>
      </c>
      <c r="CD160" s="286">
        <v>920</v>
      </c>
      <c r="CE160" s="296">
        <v>16800</v>
      </c>
      <c r="CF160" s="261">
        <v>1329040</v>
      </c>
      <c r="CG160" s="261">
        <v>902699</v>
      </c>
      <c r="CH160" s="202">
        <v>7</v>
      </c>
      <c r="CI160" s="261">
        <f t="shared" si="111"/>
        <v>1047.1475692534934</v>
      </c>
      <c r="CJ160" s="261">
        <f t="shared" si="112"/>
        <v>17592079.16345869</v>
      </c>
      <c r="CL160">
        <v>80720</v>
      </c>
      <c r="CM160" s="299">
        <v>2019</v>
      </c>
      <c r="CN160" s="299">
        <v>1550</v>
      </c>
      <c r="CO160" s="300" t="s">
        <v>258</v>
      </c>
      <c r="CP160" s="299">
        <v>755</v>
      </c>
      <c r="CQ160" s="299">
        <v>1</v>
      </c>
      <c r="CR160" s="294" t="s">
        <v>382</v>
      </c>
      <c r="CS160" s="294" t="s">
        <v>383</v>
      </c>
      <c r="CT160" s="294" t="s">
        <v>384</v>
      </c>
      <c r="CU160" s="301">
        <v>19451</v>
      </c>
      <c r="DB160">
        <f t="shared" si="100"/>
        <v>26</v>
      </c>
      <c r="DC160" s="595" t="s">
        <v>841</v>
      </c>
      <c r="DD160" s="595" t="s">
        <v>842</v>
      </c>
      <c r="DE160" s="595" t="s">
        <v>686</v>
      </c>
      <c r="DF160" s="286">
        <v>1080</v>
      </c>
      <c r="DG160" s="286">
        <v>83360</v>
      </c>
      <c r="DH160" s="286">
        <v>5752941</v>
      </c>
      <c r="DI160" s="286">
        <v>3851614</v>
      </c>
      <c r="DJ160">
        <v>27</v>
      </c>
      <c r="DK160" s="643">
        <f t="shared" si="101"/>
        <v>985.37071332586186</v>
      </c>
      <c r="DL160" s="408">
        <f t="shared" si="102"/>
        <v>82140502.662843838</v>
      </c>
      <c r="DM160" s="286"/>
      <c r="DN160" s="286"/>
      <c r="FH160">
        <v>1</v>
      </c>
      <c r="FI160" t="s">
        <v>897</v>
      </c>
      <c r="FJ160" t="s">
        <v>898</v>
      </c>
      <c r="FK160" t="s">
        <v>690</v>
      </c>
      <c r="FL160" s="286">
        <v>16771</v>
      </c>
      <c r="FM160" s="286">
        <v>1500829</v>
      </c>
      <c r="FN160" s="286">
        <v>53460365</v>
      </c>
      <c r="FO160" s="286">
        <v>31389367</v>
      </c>
      <c r="FP160">
        <v>2</v>
      </c>
      <c r="FQ160" s="925">
        <v>122.96653784550514</v>
      </c>
      <c r="FR160" s="926">
        <v>184551746.02813163</v>
      </c>
      <c r="FS160">
        <v>0</v>
      </c>
    </row>
    <row r="161" spans="1:175" ht="16" customHeight="1">
      <c r="A161">
        <v>2016</v>
      </c>
      <c r="B161">
        <v>3680</v>
      </c>
      <c r="C161" t="s">
        <v>252</v>
      </c>
      <c r="D161" t="s">
        <v>245</v>
      </c>
      <c r="E161" s="203">
        <v>94</v>
      </c>
      <c r="F161" s="203" t="s">
        <v>250</v>
      </c>
      <c r="G161" s="203" t="s">
        <v>247</v>
      </c>
      <c r="H161" s="203" t="s">
        <v>249</v>
      </c>
      <c r="I161" s="202">
        <v>0</v>
      </c>
      <c r="J161" s="202">
        <v>0</v>
      </c>
      <c r="K161" s="202">
        <v>0</v>
      </c>
      <c r="L161" s="253"/>
      <c r="M161" s="254">
        <v>2019</v>
      </c>
      <c r="N161" s="254">
        <v>1370</v>
      </c>
      <c r="O161" s="255" t="s">
        <v>255</v>
      </c>
      <c r="P161" s="254">
        <v>410</v>
      </c>
      <c r="Q161" s="254">
        <v>235</v>
      </c>
      <c r="R161" s="255" t="s">
        <v>36</v>
      </c>
      <c r="S161" s="255" t="s">
        <v>202</v>
      </c>
      <c r="T161" s="350">
        <v>0</v>
      </c>
      <c r="U161" s="350">
        <v>0</v>
      </c>
      <c r="V161" s="350">
        <v>-42336000</v>
      </c>
      <c r="W161" s="350">
        <v>0</v>
      </c>
      <c r="X161" s="350">
        <v>-42336000</v>
      </c>
      <c r="AA161" s="272">
        <v>2019</v>
      </c>
      <c r="AB161" s="272">
        <v>3740</v>
      </c>
      <c r="AC161" s="273" t="s">
        <v>244</v>
      </c>
      <c r="AD161" s="272" t="s">
        <v>489</v>
      </c>
      <c r="AE161" s="272">
        <v>44</v>
      </c>
      <c r="AF161" s="274" t="s">
        <v>395</v>
      </c>
      <c r="AG161" s="272">
        <v>4356</v>
      </c>
      <c r="AH161" s="272">
        <v>0</v>
      </c>
      <c r="AI161" s="272">
        <v>4171</v>
      </c>
      <c r="AJ161" s="272">
        <v>0</v>
      </c>
      <c r="AK161" s="272">
        <v>358162</v>
      </c>
      <c r="AL161" s="352">
        <v>85.869575641333014</v>
      </c>
      <c r="AX161" s="254">
        <v>2019</v>
      </c>
      <c r="AY161" s="254">
        <v>1550</v>
      </c>
      <c r="AZ161" s="255" t="s">
        <v>258</v>
      </c>
      <c r="BA161" s="254">
        <v>410</v>
      </c>
      <c r="BB161" s="254">
        <v>314</v>
      </c>
      <c r="BC161" s="255" t="s">
        <v>555</v>
      </c>
      <c r="BD161" s="255" t="s">
        <v>140</v>
      </c>
      <c r="BE161" s="350">
        <v>0</v>
      </c>
      <c r="BF161" s="350">
        <v>0</v>
      </c>
      <c r="BG161" s="350">
        <v>-8000</v>
      </c>
      <c r="BH161" s="350">
        <v>0</v>
      </c>
      <c r="BI161" s="350">
        <v>-8000</v>
      </c>
      <c r="BX161" s="623"/>
      <c r="BY161" t="s">
        <v>1265</v>
      </c>
      <c r="BZ161" t="s">
        <v>1266</v>
      </c>
      <c r="CA161">
        <v>1</v>
      </c>
      <c r="CB161">
        <v>1</v>
      </c>
      <c r="CC161" t="s">
        <v>700</v>
      </c>
      <c r="CD161" s="286">
        <v>15080</v>
      </c>
      <c r="CE161" s="296">
        <v>221720</v>
      </c>
      <c r="CF161" s="261">
        <v>14594990</v>
      </c>
      <c r="CG161" s="261">
        <v>11509045</v>
      </c>
      <c r="CH161" s="202">
        <v>7</v>
      </c>
      <c r="CI161" s="261">
        <f t="shared" si="111"/>
        <v>1047.1475692534934</v>
      </c>
      <c r="CJ161" s="261">
        <f t="shared" si="112"/>
        <v>232173559.05488455</v>
      </c>
      <c r="CL161">
        <v>3400</v>
      </c>
      <c r="CM161" s="299">
        <v>2019</v>
      </c>
      <c r="CN161" s="299">
        <v>1550</v>
      </c>
      <c r="CO161" s="300" t="s">
        <v>258</v>
      </c>
      <c r="CP161" s="299">
        <v>755</v>
      </c>
      <c r="CQ161" s="299">
        <v>2</v>
      </c>
      <c r="CR161" s="294" t="s">
        <v>320</v>
      </c>
      <c r="CS161" s="294" t="s">
        <v>321</v>
      </c>
      <c r="CT161" s="294" t="s">
        <v>322</v>
      </c>
      <c r="CU161" s="301">
        <v>10807452</v>
      </c>
      <c r="DB161">
        <f t="shared" ref="DB161:DB224" si="114">VALUE(LEFT(DC161,2))</f>
        <v>26</v>
      </c>
      <c r="DC161" s="595" t="s">
        <v>843</v>
      </c>
      <c r="DD161" s="595" t="s">
        <v>844</v>
      </c>
      <c r="DE161" s="595" t="s">
        <v>687</v>
      </c>
      <c r="DF161" s="286">
        <v>6760</v>
      </c>
      <c r="DG161" s="286">
        <v>568880.00000000012</v>
      </c>
      <c r="DH161" s="286">
        <v>28605197.999999996</v>
      </c>
      <c r="DI161" s="286">
        <v>21051277</v>
      </c>
      <c r="DJ161">
        <v>27</v>
      </c>
      <c r="DK161" s="643">
        <f t="shared" si="101"/>
        <v>985.37071332586186</v>
      </c>
      <c r="DL161" s="408">
        <f t="shared" si="102"/>
        <v>560557691.39681637</v>
      </c>
      <c r="DM161" s="286"/>
      <c r="DN161" s="286"/>
      <c r="FH161">
        <v>1</v>
      </c>
      <c r="FI161" t="s">
        <v>899</v>
      </c>
      <c r="FJ161" t="s">
        <v>900</v>
      </c>
      <c r="FK161" t="s">
        <v>690</v>
      </c>
      <c r="FL161" s="286">
        <v>16099</v>
      </c>
      <c r="FM161" s="286">
        <v>1557831.9999999998</v>
      </c>
      <c r="FN161" s="286">
        <v>60645816</v>
      </c>
      <c r="FO161" s="286">
        <v>34683800</v>
      </c>
      <c r="FP161">
        <v>2</v>
      </c>
      <c r="FQ161" s="925">
        <v>122.96653784550514</v>
      </c>
      <c r="FR161" s="926">
        <v>191561207.58493894</v>
      </c>
      <c r="FS161">
        <v>0</v>
      </c>
    </row>
    <row r="162" spans="1:175" ht="16" customHeight="1">
      <c r="A162">
        <v>2016</v>
      </c>
      <c r="B162">
        <v>3680</v>
      </c>
      <c r="C162" t="s">
        <v>252</v>
      </c>
      <c r="D162" t="s">
        <v>245</v>
      </c>
      <c r="E162" s="203">
        <v>97</v>
      </c>
      <c r="F162" s="203" t="s">
        <v>251</v>
      </c>
      <c r="G162" s="203" t="s">
        <v>247</v>
      </c>
      <c r="H162" s="203" t="s">
        <v>248</v>
      </c>
      <c r="I162" s="202">
        <v>0</v>
      </c>
      <c r="J162" s="202">
        <v>0</v>
      </c>
      <c r="K162" s="202">
        <v>0</v>
      </c>
      <c r="L162" s="253"/>
      <c r="M162" s="254">
        <v>2019</v>
      </c>
      <c r="N162" s="254">
        <v>1370</v>
      </c>
      <c r="O162" s="255" t="s">
        <v>255</v>
      </c>
      <c r="P162" s="254">
        <v>410</v>
      </c>
      <c r="Q162" s="254">
        <v>236</v>
      </c>
      <c r="R162" s="255" t="s">
        <v>36</v>
      </c>
      <c r="S162" s="255" t="s">
        <v>156</v>
      </c>
      <c r="T162" s="350">
        <v>0</v>
      </c>
      <c r="U162" s="350">
        <v>0</v>
      </c>
      <c r="V162" s="350">
        <v>0</v>
      </c>
      <c r="W162" s="350">
        <v>0</v>
      </c>
      <c r="X162" s="350">
        <v>0</v>
      </c>
      <c r="AA162" s="272">
        <v>2019</v>
      </c>
      <c r="AB162" s="272">
        <v>3740</v>
      </c>
      <c r="AC162" s="273" t="s">
        <v>244</v>
      </c>
      <c r="AD162" s="272" t="s">
        <v>489</v>
      </c>
      <c r="AE162" s="272">
        <v>45</v>
      </c>
      <c r="AF162" s="274" t="s">
        <v>396</v>
      </c>
      <c r="AG162" s="272">
        <v>1285</v>
      </c>
      <c r="AH162" s="272">
        <v>0</v>
      </c>
      <c r="AI162" s="272">
        <v>1000</v>
      </c>
      <c r="AJ162" s="272">
        <v>0</v>
      </c>
      <c r="AK162" s="272">
        <v>80233</v>
      </c>
      <c r="AL162" s="352">
        <v>80.233000000000004</v>
      </c>
      <c r="AX162" s="254">
        <v>2019</v>
      </c>
      <c r="AY162" s="254">
        <v>1550</v>
      </c>
      <c r="AZ162" s="255" t="s">
        <v>258</v>
      </c>
      <c r="BA162" s="254">
        <v>410</v>
      </c>
      <c r="BB162" s="254">
        <v>315</v>
      </c>
      <c r="BC162" s="255" t="s">
        <v>555</v>
      </c>
      <c r="BD162" s="255" t="s">
        <v>141</v>
      </c>
      <c r="BE162" s="350">
        <v>0</v>
      </c>
      <c r="BF162" s="350">
        <v>0</v>
      </c>
      <c r="BG162" s="350">
        <v>33132000</v>
      </c>
      <c r="BH162" s="350">
        <v>0</v>
      </c>
      <c r="BI162" s="350">
        <v>33132000</v>
      </c>
      <c r="BX162" s="623"/>
      <c r="BY162" t="s">
        <v>1085</v>
      </c>
      <c r="BZ162" t="s">
        <v>1086</v>
      </c>
      <c r="CA162">
        <v>1</v>
      </c>
      <c r="CB162">
        <v>1</v>
      </c>
      <c r="CC162" t="s">
        <v>700</v>
      </c>
      <c r="CD162" s="286">
        <v>2800</v>
      </c>
      <c r="CE162" s="296">
        <v>56600</v>
      </c>
      <c r="CF162" s="261">
        <v>4298800</v>
      </c>
      <c r="CG162" s="261">
        <v>3098434</v>
      </c>
      <c r="CH162" s="202">
        <v>7</v>
      </c>
      <c r="CI162" s="261">
        <f t="shared" si="111"/>
        <v>1047.1475692534934</v>
      </c>
      <c r="CJ162" s="261">
        <f t="shared" si="112"/>
        <v>59268552.419747725</v>
      </c>
      <c r="CL162">
        <v>18720</v>
      </c>
      <c r="CM162" s="299">
        <v>2019</v>
      </c>
      <c r="CN162" s="299">
        <v>1550</v>
      </c>
      <c r="CO162" s="300" t="s">
        <v>258</v>
      </c>
      <c r="CP162" s="299">
        <v>755</v>
      </c>
      <c r="CQ162" s="299">
        <v>3</v>
      </c>
      <c r="CR162" s="294" t="s">
        <v>320</v>
      </c>
      <c r="CS162" s="294" t="s">
        <v>321</v>
      </c>
      <c r="CT162" s="294" t="s">
        <v>323</v>
      </c>
      <c r="CU162" s="301">
        <v>12326489</v>
      </c>
      <c r="DB162">
        <f t="shared" si="114"/>
        <v>26</v>
      </c>
      <c r="DC162" s="595" t="s">
        <v>843</v>
      </c>
      <c r="DD162" s="595" t="s">
        <v>844</v>
      </c>
      <c r="DE162" s="595" t="s">
        <v>686</v>
      </c>
      <c r="DF162" s="286">
        <v>2160</v>
      </c>
      <c r="DG162" s="286">
        <v>183240</v>
      </c>
      <c r="DH162" s="286">
        <v>7992605</v>
      </c>
      <c r="DI162" s="286">
        <v>6994755.9999999991</v>
      </c>
      <c r="DJ162">
        <v>27</v>
      </c>
      <c r="DK162" s="643">
        <f t="shared" ref="DK162:DK225" si="115">VLOOKUP($DJ162,$DC$341:$DG$383,5)</f>
        <v>985.37071332586186</v>
      </c>
      <c r="DL162" s="408">
        <f t="shared" ref="DL162:DL225" si="116">DK162*DG162</f>
        <v>180559329.50983092</v>
      </c>
      <c r="DM162" s="286"/>
      <c r="DN162" s="286"/>
      <c r="FH162">
        <v>1</v>
      </c>
      <c r="FI162" t="s">
        <v>903</v>
      </c>
      <c r="FJ162" t="s">
        <v>904</v>
      </c>
      <c r="FK162" t="s">
        <v>690</v>
      </c>
      <c r="FL162" s="286">
        <v>2388</v>
      </c>
      <c r="FM162" s="286">
        <v>228736</v>
      </c>
      <c r="FN162" s="286">
        <v>5200498</v>
      </c>
      <c r="FO162" s="286">
        <v>3260966</v>
      </c>
      <c r="FP162">
        <v>2</v>
      </c>
      <c r="FQ162" s="925">
        <v>122.96653784550514</v>
      </c>
      <c r="FR162" s="926">
        <v>28126874.000629466</v>
      </c>
      <c r="FS162">
        <v>0</v>
      </c>
    </row>
    <row r="163" spans="1:175" ht="16" customHeight="1">
      <c r="A163">
        <v>2016</v>
      </c>
      <c r="B163">
        <v>3680</v>
      </c>
      <c r="C163" t="s">
        <v>252</v>
      </c>
      <c r="D163" t="s">
        <v>245</v>
      </c>
      <c r="E163" s="203">
        <v>98</v>
      </c>
      <c r="F163" s="203" t="s">
        <v>251</v>
      </c>
      <c r="G163" s="203" t="s">
        <v>247</v>
      </c>
      <c r="H163" s="204" t="s">
        <v>249</v>
      </c>
      <c r="I163" s="202">
        <v>0</v>
      </c>
      <c r="J163" s="202">
        <v>0</v>
      </c>
      <c r="K163" s="202">
        <v>0</v>
      </c>
      <c r="L163" s="253"/>
      <c r="M163" s="254">
        <v>2019</v>
      </c>
      <c r="N163" s="254">
        <v>1370</v>
      </c>
      <c r="O163" s="255" t="s">
        <v>255</v>
      </c>
      <c r="P163" s="254">
        <v>410</v>
      </c>
      <c r="Q163" s="254">
        <v>237</v>
      </c>
      <c r="R163" s="255" t="s">
        <v>36</v>
      </c>
      <c r="S163" s="255" t="s">
        <v>158</v>
      </c>
      <c r="T163" s="350">
        <v>0</v>
      </c>
      <c r="U163" s="350">
        <v>0</v>
      </c>
      <c r="V163" s="350">
        <v>0</v>
      </c>
      <c r="W163" s="350">
        <v>0</v>
      </c>
      <c r="X163" s="350">
        <v>0</v>
      </c>
      <c r="AA163" s="272">
        <v>2019</v>
      </c>
      <c r="AB163" s="272">
        <v>3740</v>
      </c>
      <c r="AC163" s="273" t="s">
        <v>244</v>
      </c>
      <c r="AD163" s="272" t="s">
        <v>489</v>
      </c>
      <c r="AE163" s="272">
        <v>46</v>
      </c>
      <c r="AF163" s="274" t="s">
        <v>397</v>
      </c>
      <c r="AG163" s="272">
        <v>174</v>
      </c>
      <c r="AH163" s="272">
        <v>0</v>
      </c>
      <c r="AI163" s="272">
        <v>168</v>
      </c>
      <c r="AJ163" s="272">
        <v>0</v>
      </c>
      <c r="AK163" s="272">
        <v>46974</v>
      </c>
      <c r="AL163" s="352">
        <v>279.60714285714283</v>
      </c>
      <c r="AX163" s="254">
        <v>2019</v>
      </c>
      <c r="AY163" s="254">
        <v>1550</v>
      </c>
      <c r="AZ163" s="255" t="s">
        <v>258</v>
      </c>
      <c r="BA163" s="254">
        <v>410</v>
      </c>
      <c r="BB163" s="254">
        <v>316</v>
      </c>
      <c r="BC163" s="255" t="s">
        <v>555</v>
      </c>
      <c r="BD163" s="255" t="s">
        <v>142</v>
      </c>
      <c r="BE163" s="350">
        <v>0</v>
      </c>
      <c r="BF163" s="350">
        <v>0</v>
      </c>
      <c r="BG163" s="350">
        <v>-32570000</v>
      </c>
      <c r="BH163" s="350">
        <v>0</v>
      </c>
      <c r="BI163" s="350">
        <v>-32570000</v>
      </c>
      <c r="BX163" s="623"/>
      <c r="BY163" t="s">
        <v>1210</v>
      </c>
      <c r="BZ163" t="s">
        <v>1211</v>
      </c>
      <c r="CA163">
        <v>1</v>
      </c>
      <c r="CB163">
        <v>1</v>
      </c>
      <c r="CC163" t="s">
        <v>699</v>
      </c>
      <c r="CD163" s="286">
        <v>1320</v>
      </c>
      <c r="CE163" s="296">
        <v>24440</v>
      </c>
      <c r="CF163" s="261">
        <v>2571880</v>
      </c>
      <c r="CG163" s="261">
        <v>1270875</v>
      </c>
      <c r="CH163" s="202">
        <v>7</v>
      </c>
      <c r="CI163" s="261">
        <f t="shared" si="111"/>
        <v>1047.1475692534934</v>
      </c>
      <c r="CJ163" s="261">
        <f t="shared" si="112"/>
        <v>25592286.592555378</v>
      </c>
      <c r="CL163">
        <v>29360</v>
      </c>
      <c r="CM163" s="299">
        <v>2019</v>
      </c>
      <c r="CN163" s="299">
        <v>1550</v>
      </c>
      <c r="CO163" s="300" t="s">
        <v>258</v>
      </c>
      <c r="CP163" s="299">
        <v>755</v>
      </c>
      <c r="CQ163" s="299">
        <v>4</v>
      </c>
      <c r="CR163" s="294" t="s">
        <v>320</v>
      </c>
      <c r="CS163" s="294" t="s">
        <v>324</v>
      </c>
      <c r="CT163" s="294" t="s">
        <v>325</v>
      </c>
      <c r="CU163" s="301">
        <v>47454421</v>
      </c>
      <c r="DB163">
        <f t="shared" si="114"/>
        <v>26</v>
      </c>
      <c r="DC163" s="595" t="s">
        <v>845</v>
      </c>
      <c r="DD163" s="595" t="s">
        <v>846</v>
      </c>
      <c r="DE163" s="595" t="s">
        <v>687</v>
      </c>
      <c r="DF163" s="286">
        <v>54240</v>
      </c>
      <c r="DG163" s="286">
        <v>4533520</v>
      </c>
      <c r="DH163" s="286">
        <v>218226928</v>
      </c>
      <c r="DI163" s="286">
        <v>150610370</v>
      </c>
      <c r="DJ163">
        <v>27</v>
      </c>
      <c r="DK163" s="643">
        <f t="shared" si="115"/>
        <v>985.37071332586186</v>
      </c>
      <c r="DL163" s="408">
        <f t="shared" si="116"/>
        <v>4467197836.2770615</v>
      </c>
      <c r="DM163" s="286"/>
      <c r="DN163" s="286"/>
      <c r="FH163">
        <v>1</v>
      </c>
      <c r="FI163" t="s">
        <v>905</v>
      </c>
      <c r="FJ163" t="s">
        <v>906</v>
      </c>
      <c r="FK163" t="s">
        <v>690</v>
      </c>
      <c r="FL163" s="286">
        <v>4400</v>
      </c>
      <c r="FM163" s="286">
        <v>405120</v>
      </c>
      <c r="FN163" s="286">
        <v>17721360</v>
      </c>
      <c r="FO163" s="286">
        <v>9584990.0000000019</v>
      </c>
      <c r="FP163">
        <v>3</v>
      </c>
      <c r="FQ163" s="925">
        <v>679.18710494589243</v>
      </c>
      <c r="FR163" s="926">
        <v>275152279.95567995</v>
      </c>
      <c r="FS163">
        <v>0</v>
      </c>
    </row>
    <row r="164" spans="1:175" ht="16" customHeight="1">
      <c r="A164">
        <v>2016</v>
      </c>
      <c r="B164">
        <v>3410</v>
      </c>
      <c r="C164" t="s">
        <v>253</v>
      </c>
      <c r="D164" t="s">
        <v>245</v>
      </c>
      <c r="E164" s="203">
        <v>91</v>
      </c>
      <c r="F164" s="203" t="s">
        <v>246</v>
      </c>
      <c r="G164" s="203" t="s">
        <v>247</v>
      </c>
      <c r="H164" s="203" t="s">
        <v>248</v>
      </c>
      <c r="I164" s="202">
        <v>0</v>
      </c>
      <c r="J164" s="202">
        <v>0</v>
      </c>
      <c r="K164" s="202">
        <v>0</v>
      </c>
      <c r="L164" s="253"/>
      <c r="AA164" s="272">
        <v>2019</v>
      </c>
      <c r="AB164" s="272">
        <v>3740</v>
      </c>
      <c r="AC164" s="273" t="s">
        <v>244</v>
      </c>
      <c r="AD164" s="272" t="s">
        <v>489</v>
      </c>
      <c r="AE164" s="272">
        <v>47</v>
      </c>
      <c r="AF164" s="274" t="s">
        <v>398</v>
      </c>
      <c r="AG164" s="272">
        <v>907</v>
      </c>
      <c r="AH164" s="272">
        <v>0</v>
      </c>
      <c r="AI164" s="272">
        <v>822</v>
      </c>
      <c r="AJ164" s="272">
        <v>0</v>
      </c>
      <c r="AK164" s="272">
        <v>31958</v>
      </c>
      <c r="AL164" s="352">
        <v>38.878345498783453</v>
      </c>
      <c r="AX164" s="254">
        <v>2019</v>
      </c>
      <c r="AY164" s="254">
        <v>1550</v>
      </c>
      <c r="AZ164" s="255" t="s">
        <v>258</v>
      </c>
      <c r="BA164" s="254">
        <v>410</v>
      </c>
      <c r="BB164" s="254">
        <v>317</v>
      </c>
      <c r="BC164" s="255" t="s">
        <v>555</v>
      </c>
      <c r="BD164" s="255" t="s">
        <v>145</v>
      </c>
      <c r="BE164" s="350">
        <v>0</v>
      </c>
      <c r="BF164" s="350">
        <v>0</v>
      </c>
      <c r="BG164" s="350">
        <v>0</v>
      </c>
      <c r="BH164" s="350">
        <v>106157000</v>
      </c>
      <c r="BI164" s="350">
        <v>106157000</v>
      </c>
      <c r="BX164" s="623"/>
      <c r="BY164" t="s">
        <v>1210</v>
      </c>
      <c r="BZ164" t="s">
        <v>1211</v>
      </c>
      <c r="CA164">
        <v>1</v>
      </c>
      <c r="CB164">
        <v>1</v>
      </c>
      <c r="CC164" t="s">
        <v>700</v>
      </c>
      <c r="CD164" s="286">
        <v>26760</v>
      </c>
      <c r="CE164" s="296">
        <v>440640</v>
      </c>
      <c r="CF164" s="261">
        <v>39487158</v>
      </c>
      <c r="CG164" s="261">
        <v>23941185</v>
      </c>
      <c r="CH164" s="202">
        <v>7</v>
      </c>
      <c r="CI164" s="261">
        <f t="shared" si="111"/>
        <v>1047.1475692534934</v>
      </c>
      <c r="CJ164" s="261">
        <f t="shared" si="112"/>
        <v>461415104.91585934</v>
      </c>
      <c r="CL164">
        <v>43360</v>
      </c>
      <c r="CM164" s="299">
        <v>2019</v>
      </c>
      <c r="CN164" s="299">
        <v>1550</v>
      </c>
      <c r="CO164" s="300" t="s">
        <v>258</v>
      </c>
      <c r="CP164" s="299">
        <v>755</v>
      </c>
      <c r="CQ164" s="299">
        <v>5</v>
      </c>
      <c r="CR164" s="294" t="s">
        <v>320</v>
      </c>
      <c r="CS164" s="294" t="s">
        <v>324</v>
      </c>
      <c r="CT164" s="294" t="s">
        <v>326</v>
      </c>
      <c r="CU164" s="301">
        <v>70588362</v>
      </c>
      <c r="DB164">
        <f t="shared" si="114"/>
        <v>26</v>
      </c>
      <c r="DC164" s="595" t="s">
        <v>845</v>
      </c>
      <c r="DD164" s="595" t="s">
        <v>846</v>
      </c>
      <c r="DE164" s="595" t="s">
        <v>686</v>
      </c>
      <c r="DF164" s="286">
        <v>7400</v>
      </c>
      <c r="DG164" s="286">
        <v>631280</v>
      </c>
      <c r="DH164" s="286">
        <v>27080459.000000004</v>
      </c>
      <c r="DI164" s="286">
        <v>20540109</v>
      </c>
      <c r="DJ164">
        <v>27</v>
      </c>
      <c r="DK164" s="643">
        <f t="shared" si="115"/>
        <v>985.37071332586186</v>
      </c>
      <c r="DL164" s="408">
        <f t="shared" si="116"/>
        <v>622044823.90835011</v>
      </c>
      <c r="DM164" s="286"/>
      <c r="DN164" s="286"/>
      <c r="FH164">
        <v>1</v>
      </c>
      <c r="FI164" t="s">
        <v>909</v>
      </c>
      <c r="FJ164" t="s">
        <v>910</v>
      </c>
      <c r="FK164" t="s">
        <v>690</v>
      </c>
      <c r="FL164" s="286">
        <v>7537</v>
      </c>
      <c r="FM164" s="286">
        <v>653733</v>
      </c>
      <c r="FN164" s="286">
        <v>19821737.999999996</v>
      </c>
      <c r="FO164" s="286">
        <v>12743182</v>
      </c>
      <c r="FP164">
        <v>3</v>
      </c>
      <c r="FQ164" s="925">
        <v>679.18710494589243</v>
      </c>
      <c r="FR164" s="926">
        <v>444007023.67759311</v>
      </c>
      <c r="FS164">
        <v>0</v>
      </c>
    </row>
    <row r="165" spans="1:175" ht="16" customHeight="1">
      <c r="A165">
        <v>2016</v>
      </c>
      <c r="B165">
        <v>3410</v>
      </c>
      <c r="C165" t="s">
        <v>253</v>
      </c>
      <c r="D165" t="s">
        <v>245</v>
      </c>
      <c r="E165" s="203">
        <v>92</v>
      </c>
      <c r="F165" s="203" t="s">
        <v>246</v>
      </c>
      <c r="G165" s="203" t="s">
        <v>247</v>
      </c>
      <c r="H165" s="204" t="s">
        <v>249</v>
      </c>
      <c r="I165" s="202">
        <v>0</v>
      </c>
      <c r="J165" s="202">
        <v>0</v>
      </c>
      <c r="K165" s="202">
        <v>0</v>
      </c>
      <c r="L165" s="253"/>
      <c r="AA165" s="272">
        <v>2019</v>
      </c>
      <c r="AB165" s="272">
        <v>3740</v>
      </c>
      <c r="AC165" s="273" t="s">
        <v>244</v>
      </c>
      <c r="AD165" s="272" t="s">
        <v>489</v>
      </c>
      <c r="AE165" s="272">
        <v>48</v>
      </c>
      <c r="AF165" s="274" t="s">
        <v>399</v>
      </c>
      <c r="AG165" s="272">
        <v>4</v>
      </c>
      <c r="AH165" s="272">
        <v>0</v>
      </c>
      <c r="AI165" s="272">
        <v>4</v>
      </c>
      <c r="AJ165" s="272">
        <v>0</v>
      </c>
      <c r="AK165" s="272">
        <v>242</v>
      </c>
      <c r="AL165" s="352">
        <v>60.5</v>
      </c>
      <c r="AX165" s="254">
        <v>2019</v>
      </c>
      <c r="AY165" s="254">
        <v>1550</v>
      </c>
      <c r="AZ165" s="255" t="s">
        <v>258</v>
      </c>
      <c r="BA165" s="254">
        <v>410</v>
      </c>
      <c r="BB165" s="254">
        <v>318</v>
      </c>
      <c r="BC165" s="255" t="s">
        <v>555</v>
      </c>
      <c r="BD165" s="255" t="s">
        <v>152</v>
      </c>
      <c r="BE165" s="350">
        <v>0</v>
      </c>
      <c r="BF165" s="350">
        <v>0</v>
      </c>
      <c r="BG165" s="350">
        <v>19000</v>
      </c>
      <c r="BH165" s="350">
        <v>0</v>
      </c>
      <c r="BI165" s="350">
        <v>19000</v>
      </c>
      <c r="BX165" s="623"/>
      <c r="BY165" t="s">
        <v>1267</v>
      </c>
      <c r="BZ165" t="s">
        <v>1268</v>
      </c>
      <c r="CA165">
        <v>1</v>
      </c>
      <c r="CB165">
        <v>1</v>
      </c>
      <c r="CC165" t="s">
        <v>700</v>
      </c>
      <c r="CD165" s="286">
        <v>3600</v>
      </c>
      <c r="CE165" s="296">
        <v>62920</v>
      </c>
      <c r="CF165" s="261">
        <v>3599040</v>
      </c>
      <c r="CG165" s="261">
        <v>3779656</v>
      </c>
      <c r="CH165" s="202">
        <v>7</v>
      </c>
      <c r="CI165" s="261">
        <f t="shared" si="111"/>
        <v>1047.1475692534934</v>
      </c>
      <c r="CJ165" s="261">
        <f t="shared" si="112"/>
        <v>65886525.057429805</v>
      </c>
      <c r="CL165">
        <v>98600</v>
      </c>
      <c r="CM165" s="299">
        <v>2019</v>
      </c>
      <c r="CN165" s="299">
        <v>1550</v>
      </c>
      <c r="CO165" s="300" t="s">
        <v>258</v>
      </c>
      <c r="CP165" s="299">
        <v>755</v>
      </c>
      <c r="CQ165" s="299">
        <v>6</v>
      </c>
      <c r="CR165" s="294" t="s">
        <v>320</v>
      </c>
      <c r="CS165" s="294" t="s">
        <v>327</v>
      </c>
      <c r="CT165" s="294" t="s">
        <v>328</v>
      </c>
      <c r="CU165" s="301">
        <v>0</v>
      </c>
      <c r="DB165">
        <f t="shared" si="114"/>
        <v>26</v>
      </c>
      <c r="DC165" s="595" t="s">
        <v>847</v>
      </c>
      <c r="DD165" s="595" t="s">
        <v>848</v>
      </c>
      <c r="DE165" s="595" t="s">
        <v>687</v>
      </c>
      <c r="DF165" s="286">
        <v>2040</v>
      </c>
      <c r="DG165" s="286">
        <v>172920.00000000003</v>
      </c>
      <c r="DH165" s="286">
        <v>9874872</v>
      </c>
      <c r="DI165" s="286">
        <v>7078290</v>
      </c>
      <c r="DJ165">
        <v>27</v>
      </c>
      <c r="DK165" s="643">
        <f t="shared" si="115"/>
        <v>985.37071332586186</v>
      </c>
      <c r="DL165" s="408">
        <f t="shared" si="116"/>
        <v>170390303.74830806</v>
      </c>
      <c r="DM165" s="286"/>
      <c r="DN165" s="286"/>
      <c r="FH165">
        <v>1</v>
      </c>
      <c r="FI165" t="s">
        <v>911</v>
      </c>
      <c r="FJ165" t="s">
        <v>912</v>
      </c>
      <c r="FK165" t="s">
        <v>690</v>
      </c>
      <c r="FL165" s="286">
        <v>1128</v>
      </c>
      <c r="FM165" s="286">
        <v>114128</v>
      </c>
      <c r="FN165" s="286">
        <v>6488899</v>
      </c>
      <c r="FO165" s="286">
        <v>4839688</v>
      </c>
      <c r="FP165">
        <v>3</v>
      </c>
      <c r="FQ165" s="925">
        <v>679.18710494589243</v>
      </c>
      <c r="FR165" s="926">
        <v>77514265.913264811</v>
      </c>
      <c r="FS165">
        <v>0</v>
      </c>
    </row>
    <row r="166" spans="1:175" ht="16" customHeight="1">
      <c r="A166">
        <v>2016</v>
      </c>
      <c r="B166">
        <v>3410</v>
      </c>
      <c r="C166" t="s">
        <v>253</v>
      </c>
      <c r="D166" t="s">
        <v>245</v>
      </c>
      <c r="E166" s="203">
        <v>93</v>
      </c>
      <c r="F166" s="203" t="s">
        <v>250</v>
      </c>
      <c r="G166" s="203" t="s">
        <v>247</v>
      </c>
      <c r="H166" s="203" t="s">
        <v>248</v>
      </c>
      <c r="I166" s="202">
        <v>667</v>
      </c>
      <c r="J166" s="202">
        <v>28636</v>
      </c>
      <c r="K166" s="202">
        <v>55020000</v>
      </c>
      <c r="L166" s="253"/>
      <c r="AA166" s="272">
        <v>2019</v>
      </c>
      <c r="AB166" s="272">
        <v>3740</v>
      </c>
      <c r="AC166" s="273" t="s">
        <v>244</v>
      </c>
      <c r="AD166" s="272" t="s">
        <v>489</v>
      </c>
      <c r="AE166" s="272">
        <v>49</v>
      </c>
      <c r="AF166" s="274" t="s">
        <v>490</v>
      </c>
      <c r="AG166" s="272">
        <v>2550</v>
      </c>
      <c r="AH166" s="272">
        <v>0</v>
      </c>
      <c r="AI166" s="272">
        <v>2453</v>
      </c>
      <c r="AJ166" s="272">
        <v>0</v>
      </c>
      <c r="AK166" s="272">
        <v>250046</v>
      </c>
      <c r="AL166" s="352">
        <v>101.93477374643294</v>
      </c>
      <c r="AX166" s="254">
        <v>2019</v>
      </c>
      <c r="AY166" s="254">
        <v>1550</v>
      </c>
      <c r="AZ166" s="255" t="s">
        <v>258</v>
      </c>
      <c r="BA166" s="254">
        <v>410</v>
      </c>
      <c r="BB166" s="254">
        <v>319</v>
      </c>
      <c r="BC166" s="255" t="s">
        <v>555</v>
      </c>
      <c r="BD166" s="255" t="s">
        <v>153</v>
      </c>
      <c r="BE166" s="350">
        <v>0</v>
      </c>
      <c r="BF166" s="350">
        <v>0</v>
      </c>
      <c r="BG166" s="350">
        <v>0</v>
      </c>
      <c r="BH166" s="350">
        <v>0</v>
      </c>
      <c r="BI166" s="350">
        <v>0</v>
      </c>
      <c r="BX166" s="623"/>
      <c r="BY166" t="s">
        <v>935</v>
      </c>
      <c r="BZ166" t="s">
        <v>936</v>
      </c>
      <c r="CA166">
        <v>1</v>
      </c>
      <c r="CB166">
        <v>1</v>
      </c>
      <c r="CC166" t="s">
        <v>700</v>
      </c>
      <c r="CD166" s="286">
        <v>2080</v>
      </c>
      <c r="CE166" s="296">
        <v>44840</v>
      </c>
      <c r="CF166" s="261">
        <v>1675688</v>
      </c>
      <c r="CG166" s="261">
        <v>2086916.0000000002</v>
      </c>
      <c r="CH166" s="202">
        <v>6</v>
      </c>
      <c r="CI166" s="261">
        <f t="shared" si="111"/>
        <v>1380.3735792495058</v>
      </c>
      <c r="CJ166" s="261">
        <f t="shared" si="112"/>
        <v>61895951.293547839</v>
      </c>
      <c r="CL166">
        <v>30880</v>
      </c>
      <c r="CM166" s="299">
        <v>2019</v>
      </c>
      <c r="CN166" s="299">
        <v>1550</v>
      </c>
      <c r="CO166" s="300" t="s">
        <v>258</v>
      </c>
      <c r="CP166" s="299">
        <v>755</v>
      </c>
      <c r="CQ166" s="299">
        <v>7</v>
      </c>
      <c r="CR166" s="294" t="s">
        <v>320</v>
      </c>
      <c r="CS166" s="294" t="s">
        <v>324</v>
      </c>
      <c r="CT166" s="294" t="s">
        <v>329</v>
      </c>
      <c r="CU166" s="301">
        <v>70588362</v>
      </c>
      <c r="DB166">
        <f t="shared" si="114"/>
        <v>26</v>
      </c>
      <c r="DC166" s="595" t="s">
        <v>849</v>
      </c>
      <c r="DD166" s="595" t="s">
        <v>850</v>
      </c>
      <c r="DE166" s="595" t="s">
        <v>687</v>
      </c>
      <c r="DF166" s="286">
        <v>235200</v>
      </c>
      <c r="DG166" s="286">
        <v>17740560</v>
      </c>
      <c r="DH166" s="286">
        <v>1081571221</v>
      </c>
      <c r="DI166" s="286">
        <v>676273001</v>
      </c>
      <c r="DJ166">
        <v>27</v>
      </c>
      <c r="DK166" s="643">
        <f t="shared" si="115"/>
        <v>985.37071332586186</v>
      </c>
      <c r="DL166" s="408">
        <f t="shared" si="116"/>
        <v>17481028262.000252</v>
      </c>
      <c r="DM166" s="286"/>
      <c r="DN166" s="286"/>
      <c r="FH166">
        <v>1</v>
      </c>
      <c r="FI166" t="s">
        <v>810</v>
      </c>
      <c r="FJ166" t="s">
        <v>811</v>
      </c>
      <c r="FK166" t="s">
        <v>690</v>
      </c>
      <c r="FL166" s="286">
        <v>3512</v>
      </c>
      <c r="FM166" s="286">
        <v>367688</v>
      </c>
      <c r="FN166" s="286">
        <v>16031350</v>
      </c>
      <c r="FO166" s="286">
        <v>11570963</v>
      </c>
      <c r="FP166">
        <v>3</v>
      </c>
      <c r="FQ166" s="925">
        <v>679.18710494589243</v>
      </c>
      <c r="FR166" s="926">
        <v>249728948.24334529</v>
      </c>
      <c r="FS166">
        <v>0</v>
      </c>
    </row>
    <row r="167" spans="1:175" ht="16" customHeight="1">
      <c r="A167">
        <v>2016</v>
      </c>
      <c r="B167">
        <v>3410</v>
      </c>
      <c r="C167" t="s">
        <v>253</v>
      </c>
      <c r="D167" t="s">
        <v>245</v>
      </c>
      <c r="E167" s="203">
        <v>94</v>
      </c>
      <c r="F167" s="203" t="s">
        <v>250</v>
      </c>
      <c r="G167" s="203" t="s">
        <v>247</v>
      </c>
      <c r="H167" s="204" t="s">
        <v>249</v>
      </c>
      <c r="I167" s="202">
        <v>0</v>
      </c>
      <c r="J167" s="202">
        <v>0</v>
      </c>
      <c r="K167" s="202">
        <v>0</v>
      </c>
      <c r="L167" s="253"/>
      <c r="AA167" s="272">
        <v>2019</v>
      </c>
      <c r="AB167" s="272">
        <v>3740</v>
      </c>
      <c r="AC167" s="273" t="s">
        <v>244</v>
      </c>
      <c r="AD167" s="272" t="s">
        <v>489</v>
      </c>
      <c r="AE167" s="272">
        <v>50</v>
      </c>
      <c r="AF167" s="274" t="s">
        <v>408</v>
      </c>
      <c r="AG167" s="272">
        <v>0</v>
      </c>
      <c r="AH167" s="272">
        <v>0</v>
      </c>
      <c r="AI167" s="272">
        <v>0</v>
      </c>
      <c r="AJ167" s="272">
        <v>0</v>
      </c>
      <c r="AK167" s="272">
        <v>0</v>
      </c>
      <c r="AL167" s="352">
        <v>0</v>
      </c>
      <c r="AX167" s="254">
        <v>2019</v>
      </c>
      <c r="AY167" s="254">
        <v>1550</v>
      </c>
      <c r="AZ167" s="255" t="s">
        <v>258</v>
      </c>
      <c r="BA167" s="254">
        <v>410</v>
      </c>
      <c r="BB167" s="254">
        <v>320</v>
      </c>
      <c r="BC167" s="255" t="s">
        <v>555</v>
      </c>
      <c r="BD167" s="255" t="s">
        <v>202</v>
      </c>
      <c r="BE167" s="350">
        <v>0</v>
      </c>
      <c r="BF167" s="350">
        <v>0</v>
      </c>
      <c r="BG167" s="350">
        <v>-11913000</v>
      </c>
      <c r="BH167" s="350">
        <v>0</v>
      </c>
      <c r="BI167" s="350">
        <v>-11913000</v>
      </c>
      <c r="BX167" s="623"/>
      <c r="BY167" t="s">
        <v>941</v>
      </c>
      <c r="BZ167" t="s">
        <v>942</v>
      </c>
      <c r="CA167">
        <v>1</v>
      </c>
      <c r="CB167">
        <v>1</v>
      </c>
      <c r="CC167" t="s">
        <v>700</v>
      </c>
      <c r="CD167" s="286">
        <v>7720</v>
      </c>
      <c r="CE167" s="296">
        <v>190480</v>
      </c>
      <c r="CF167" s="261">
        <v>7469173</v>
      </c>
      <c r="CG167" s="261">
        <v>7901232</v>
      </c>
      <c r="CH167" s="202">
        <v>6</v>
      </c>
      <c r="CI167" s="261">
        <f t="shared" si="111"/>
        <v>1380.3735792495058</v>
      </c>
      <c r="CJ167" s="261">
        <f t="shared" si="112"/>
        <v>262933559.37544587</v>
      </c>
      <c r="CL167">
        <v>88640</v>
      </c>
      <c r="CM167" s="299">
        <v>2019</v>
      </c>
      <c r="CN167" s="299">
        <v>1550</v>
      </c>
      <c r="CO167" s="300" t="s">
        <v>258</v>
      </c>
      <c r="CP167" s="299">
        <v>755</v>
      </c>
      <c r="CQ167" s="299">
        <v>8</v>
      </c>
      <c r="CR167" s="294" t="s">
        <v>330</v>
      </c>
      <c r="CS167" s="294" t="s">
        <v>331</v>
      </c>
      <c r="CT167" s="294" t="s">
        <v>322</v>
      </c>
      <c r="CU167" s="301">
        <v>26697813</v>
      </c>
      <c r="DB167">
        <f t="shared" si="114"/>
        <v>26</v>
      </c>
      <c r="DC167" s="595" t="s">
        <v>849</v>
      </c>
      <c r="DD167" s="595" t="s">
        <v>850</v>
      </c>
      <c r="DE167" s="595" t="s">
        <v>686</v>
      </c>
      <c r="DF167" s="286">
        <v>27120</v>
      </c>
      <c r="DG167" s="286">
        <v>1931400</v>
      </c>
      <c r="DH167" s="286">
        <v>123239842</v>
      </c>
      <c r="DI167" s="286">
        <v>83228224.999999985</v>
      </c>
      <c r="DJ167">
        <v>27</v>
      </c>
      <c r="DK167" s="643">
        <f t="shared" si="115"/>
        <v>985.37071332586186</v>
      </c>
      <c r="DL167" s="408">
        <f t="shared" si="116"/>
        <v>1903144995.7175696</v>
      </c>
      <c r="DM167" s="286"/>
      <c r="DN167" s="286"/>
      <c r="FH167">
        <v>1</v>
      </c>
      <c r="FI167" t="s">
        <v>812</v>
      </c>
      <c r="FJ167" t="s">
        <v>813</v>
      </c>
      <c r="FK167" t="s">
        <v>690</v>
      </c>
      <c r="FL167" s="286">
        <v>3528</v>
      </c>
      <c r="FM167" s="286">
        <v>367212</v>
      </c>
      <c r="FN167" s="286">
        <v>19739216</v>
      </c>
      <c r="FO167" s="286">
        <v>13735599</v>
      </c>
      <c r="FP167">
        <v>3</v>
      </c>
      <c r="FQ167" s="925">
        <v>679.18710494589243</v>
      </c>
      <c r="FR167" s="926">
        <v>249405655.18139106</v>
      </c>
      <c r="FS167">
        <v>0</v>
      </c>
    </row>
    <row r="168" spans="1:175" ht="16" customHeight="1">
      <c r="A168">
        <v>2016</v>
      </c>
      <c r="B168">
        <v>3410</v>
      </c>
      <c r="C168" t="s">
        <v>253</v>
      </c>
      <c r="D168" t="s">
        <v>245</v>
      </c>
      <c r="E168" s="203">
        <v>97</v>
      </c>
      <c r="F168" s="203" t="s">
        <v>251</v>
      </c>
      <c r="G168" s="203" t="s">
        <v>247</v>
      </c>
      <c r="H168" s="203" t="s">
        <v>248</v>
      </c>
      <c r="I168" s="202">
        <v>0</v>
      </c>
      <c r="J168" s="202">
        <v>0</v>
      </c>
      <c r="K168" s="202">
        <v>0</v>
      </c>
      <c r="L168" s="253"/>
      <c r="AA168" s="272">
        <v>2019</v>
      </c>
      <c r="AB168" s="272">
        <v>3740</v>
      </c>
      <c r="AC168" s="273" t="s">
        <v>244</v>
      </c>
      <c r="AD168" s="272" t="s">
        <v>489</v>
      </c>
      <c r="AE168" s="272">
        <v>51</v>
      </c>
      <c r="AF168" s="274" t="s">
        <v>409</v>
      </c>
      <c r="AG168" s="272">
        <v>166</v>
      </c>
      <c r="AH168" s="272">
        <v>0</v>
      </c>
      <c r="AI168" s="272">
        <v>180</v>
      </c>
      <c r="AJ168" s="272">
        <v>0</v>
      </c>
      <c r="AK168" s="272">
        <v>17653</v>
      </c>
      <c r="AL168" s="352">
        <v>98.072222222222223</v>
      </c>
      <c r="AX168" s="254">
        <v>2019</v>
      </c>
      <c r="AY168" s="254">
        <v>1550</v>
      </c>
      <c r="AZ168" s="255" t="s">
        <v>258</v>
      </c>
      <c r="BA168" s="254">
        <v>410</v>
      </c>
      <c r="BB168" s="254">
        <v>321</v>
      </c>
      <c r="BC168" s="255" t="s">
        <v>555</v>
      </c>
      <c r="BD168" s="255" t="s">
        <v>156</v>
      </c>
      <c r="BE168" s="350">
        <v>0</v>
      </c>
      <c r="BF168" s="350">
        <v>0</v>
      </c>
      <c r="BG168" s="350">
        <v>0</v>
      </c>
      <c r="BH168" s="350">
        <v>0</v>
      </c>
      <c r="BI168" s="350">
        <v>0</v>
      </c>
      <c r="BX168" s="623"/>
      <c r="BY168" t="s">
        <v>822</v>
      </c>
      <c r="BZ168" t="s">
        <v>823</v>
      </c>
      <c r="CA168">
        <v>1</v>
      </c>
      <c r="CB168">
        <v>1</v>
      </c>
      <c r="CC168" t="s">
        <v>700</v>
      </c>
      <c r="CD168" s="286">
        <v>22440</v>
      </c>
      <c r="CE168" s="296">
        <v>419520</v>
      </c>
      <c r="CF168" s="261">
        <v>23720383</v>
      </c>
      <c r="CG168" s="261">
        <v>19445896</v>
      </c>
      <c r="CH168" s="202">
        <v>4</v>
      </c>
      <c r="CI168" s="261">
        <f t="shared" si="111"/>
        <v>372.51982588160462</v>
      </c>
      <c r="CJ168" s="261">
        <f t="shared" si="112"/>
        <v>156279517.35385078</v>
      </c>
      <c r="CL168">
        <v>34440</v>
      </c>
      <c r="CM168" s="299">
        <v>2019</v>
      </c>
      <c r="CN168" s="299">
        <v>1550</v>
      </c>
      <c r="CO168" s="300" t="s">
        <v>258</v>
      </c>
      <c r="CP168" s="299">
        <v>755</v>
      </c>
      <c r="CQ168" s="299">
        <v>9</v>
      </c>
      <c r="CR168" s="294" t="s">
        <v>330</v>
      </c>
      <c r="CS168" s="294" t="s">
        <v>331</v>
      </c>
      <c r="CT168" s="294" t="s">
        <v>323</v>
      </c>
      <c r="CU168" s="301">
        <v>19550385</v>
      </c>
      <c r="DB168">
        <f t="shared" si="114"/>
        <v>28</v>
      </c>
      <c r="DC168" s="595" t="s">
        <v>1123</v>
      </c>
      <c r="DD168" s="595" t="s">
        <v>1124</v>
      </c>
      <c r="DE168" s="595" t="s">
        <v>695</v>
      </c>
      <c r="DF168" s="286">
        <v>4600</v>
      </c>
      <c r="DG168" s="286">
        <v>424600</v>
      </c>
      <c r="DH168" s="286">
        <v>17780538</v>
      </c>
      <c r="DI168" s="286">
        <v>7069688</v>
      </c>
      <c r="DJ168">
        <v>20</v>
      </c>
      <c r="DK168" s="643">
        <f t="shared" si="115"/>
        <v>878.59703070032845</v>
      </c>
      <c r="DL168" s="408">
        <f t="shared" si="116"/>
        <v>373052299.23535943</v>
      </c>
      <c r="DM168" s="286"/>
      <c r="DN168" s="286"/>
      <c r="FH168">
        <v>1</v>
      </c>
      <c r="FI168" t="s">
        <v>913</v>
      </c>
      <c r="FJ168" t="s">
        <v>914</v>
      </c>
      <c r="FK168" t="s">
        <v>690</v>
      </c>
      <c r="FL168" s="286">
        <v>2712</v>
      </c>
      <c r="FM168" s="286">
        <v>279772</v>
      </c>
      <c r="FN168" s="286">
        <v>16097666</v>
      </c>
      <c r="FO168" s="286">
        <v>12414889.000000002</v>
      </c>
      <c r="FP168">
        <v>3</v>
      </c>
      <c r="FQ168" s="925">
        <v>679.18710494589243</v>
      </c>
      <c r="FR168" s="926">
        <v>190017534.72492221</v>
      </c>
      <c r="FS168">
        <v>0</v>
      </c>
    </row>
    <row r="169" spans="1:175" ht="16" customHeight="1">
      <c r="A169">
        <v>2016</v>
      </c>
      <c r="B169">
        <v>3410</v>
      </c>
      <c r="C169" t="s">
        <v>253</v>
      </c>
      <c r="D169" t="s">
        <v>245</v>
      </c>
      <c r="E169" s="203">
        <v>98</v>
      </c>
      <c r="F169" s="203" t="s">
        <v>251</v>
      </c>
      <c r="G169" s="203" t="s">
        <v>247</v>
      </c>
      <c r="H169" s="204" t="s">
        <v>249</v>
      </c>
      <c r="I169" s="202">
        <v>0</v>
      </c>
      <c r="J169" s="202">
        <v>0</v>
      </c>
      <c r="K169" s="202">
        <v>0</v>
      </c>
      <c r="L169" s="253"/>
      <c r="AA169" s="272">
        <v>2019</v>
      </c>
      <c r="AB169" s="272">
        <v>3740</v>
      </c>
      <c r="AC169" s="273" t="s">
        <v>244</v>
      </c>
      <c r="AD169" s="272" t="s">
        <v>489</v>
      </c>
      <c r="AE169" s="272">
        <v>52</v>
      </c>
      <c r="AF169" s="274" t="s">
        <v>491</v>
      </c>
      <c r="AG169" s="272">
        <v>0</v>
      </c>
      <c r="AH169" s="272">
        <v>0</v>
      </c>
      <c r="AI169" s="272">
        <v>0</v>
      </c>
      <c r="AJ169" s="272">
        <v>0</v>
      </c>
      <c r="AK169" s="272">
        <v>0</v>
      </c>
      <c r="AL169" s="352">
        <v>0</v>
      </c>
      <c r="AX169" s="254">
        <v>2019</v>
      </c>
      <c r="AY169" s="254">
        <v>1550</v>
      </c>
      <c r="AZ169" s="255" t="s">
        <v>258</v>
      </c>
      <c r="BA169" s="254">
        <v>410</v>
      </c>
      <c r="BB169" s="254">
        <v>322</v>
      </c>
      <c r="BC169" s="255" t="s">
        <v>555</v>
      </c>
      <c r="BD169" s="255" t="s">
        <v>158</v>
      </c>
      <c r="BE169" s="350">
        <v>0</v>
      </c>
      <c r="BF169" s="350">
        <v>0</v>
      </c>
      <c r="BG169" s="350">
        <v>0</v>
      </c>
      <c r="BH169" s="350">
        <v>0</v>
      </c>
      <c r="BI169" s="350">
        <v>0</v>
      </c>
      <c r="BX169" s="623"/>
      <c r="BY169" t="s">
        <v>1269</v>
      </c>
      <c r="BZ169" t="s">
        <v>1270</v>
      </c>
      <c r="CA169">
        <v>1</v>
      </c>
      <c r="CB169">
        <v>1</v>
      </c>
      <c r="CC169" t="s">
        <v>700</v>
      </c>
      <c r="CD169" s="286">
        <v>18520</v>
      </c>
      <c r="CE169" s="296">
        <v>225600</v>
      </c>
      <c r="CF169" s="261">
        <v>13660570</v>
      </c>
      <c r="CG169" s="261">
        <v>10453458</v>
      </c>
      <c r="CH169" s="202">
        <v>6</v>
      </c>
      <c r="CI169" s="261">
        <f t="shared" si="111"/>
        <v>1380.3735792495058</v>
      </c>
      <c r="CJ169" s="261">
        <f t="shared" si="112"/>
        <v>311412279.47868854</v>
      </c>
      <c r="CL169">
        <v>28880</v>
      </c>
      <c r="CM169" s="299">
        <v>2019</v>
      </c>
      <c r="CN169" s="299">
        <v>1550</v>
      </c>
      <c r="CO169" s="300" t="s">
        <v>258</v>
      </c>
      <c r="CP169" s="299">
        <v>755</v>
      </c>
      <c r="CQ169" s="299">
        <v>10</v>
      </c>
      <c r="CR169" s="294" t="s">
        <v>330</v>
      </c>
      <c r="CS169" s="294" t="s">
        <v>332</v>
      </c>
      <c r="CT169" s="294" t="s">
        <v>325</v>
      </c>
      <c r="CU169" s="301">
        <v>112127822</v>
      </c>
      <c r="DB169">
        <f t="shared" si="114"/>
        <v>28</v>
      </c>
      <c r="DC169" s="595" t="s">
        <v>1125</v>
      </c>
      <c r="DD169" s="595" t="s">
        <v>1126</v>
      </c>
      <c r="DE169" s="595" t="s">
        <v>695</v>
      </c>
      <c r="DF169" s="286">
        <v>80400</v>
      </c>
      <c r="DG169" s="286">
        <v>7921280.0000000009</v>
      </c>
      <c r="DH169" s="286">
        <v>304659665.00000006</v>
      </c>
      <c r="DI169" s="286">
        <v>139008349.99999997</v>
      </c>
      <c r="DJ169">
        <v>20</v>
      </c>
      <c r="DK169" s="643">
        <f t="shared" si="115"/>
        <v>878.59703070032845</v>
      </c>
      <c r="DL169" s="408">
        <f t="shared" si="116"/>
        <v>6959613087.3458986</v>
      </c>
      <c r="DM169" s="286"/>
      <c r="DN169" s="286"/>
      <c r="FH169">
        <v>20</v>
      </c>
      <c r="FI169" t="s">
        <v>822</v>
      </c>
      <c r="FJ169" t="s">
        <v>823</v>
      </c>
      <c r="FK169" t="s">
        <v>690</v>
      </c>
      <c r="FL169" s="286">
        <v>50985</v>
      </c>
      <c r="FM169" s="286">
        <v>5115504</v>
      </c>
      <c r="FN169" s="286">
        <v>126539522</v>
      </c>
      <c r="FO169" s="286">
        <v>75284394</v>
      </c>
      <c r="FP169">
        <v>4</v>
      </c>
      <c r="FQ169" s="925">
        <v>372.51982588160462</v>
      </c>
      <c r="FR169" s="926">
        <v>1905626659.376652</v>
      </c>
      <c r="FS169">
        <v>0</v>
      </c>
    </row>
    <row r="170" spans="1:175" ht="16" customHeight="1">
      <c r="A170">
        <v>2016</v>
      </c>
      <c r="B170">
        <v>3050</v>
      </c>
      <c r="C170" t="s">
        <v>254</v>
      </c>
      <c r="D170" t="s">
        <v>245</v>
      </c>
      <c r="E170" s="203">
        <v>91</v>
      </c>
      <c r="F170" s="203" t="s">
        <v>246</v>
      </c>
      <c r="G170" s="203" t="s">
        <v>247</v>
      </c>
      <c r="H170" s="203" t="s">
        <v>248</v>
      </c>
      <c r="I170" s="202">
        <v>155</v>
      </c>
      <c r="J170" s="202">
        <v>33131</v>
      </c>
      <c r="K170" s="202">
        <v>360366000</v>
      </c>
      <c r="L170" s="253"/>
      <c r="AA170" s="272">
        <v>2019</v>
      </c>
      <c r="AB170" s="272">
        <v>3740</v>
      </c>
      <c r="AC170" s="273" t="s">
        <v>244</v>
      </c>
      <c r="AD170" s="272" t="s">
        <v>489</v>
      </c>
      <c r="AE170" s="272">
        <v>53</v>
      </c>
      <c r="AF170" s="274" t="s">
        <v>492</v>
      </c>
      <c r="AG170" s="272">
        <v>62160</v>
      </c>
      <c r="AH170" s="272">
        <v>0</v>
      </c>
      <c r="AI170" s="272">
        <v>56876</v>
      </c>
      <c r="AJ170" s="272">
        <v>0</v>
      </c>
      <c r="AK170" s="272">
        <v>5788292</v>
      </c>
      <c r="AL170" s="352">
        <v>101.77037766368943</v>
      </c>
      <c r="AX170" s="254">
        <v>2019</v>
      </c>
      <c r="AY170" s="254">
        <v>1550</v>
      </c>
      <c r="AZ170" s="255" t="s">
        <v>258</v>
      </c>
      <c r="BA170" s="254">
        <v>410</v>
      </c>
      <c r="BB170" s="254">
        <v>323</v>
      </c>
      <c r="BC170" s="255" t="s">
        <v>555</v>
      </c>
      <c r="BD170" s="255" t="s">
        <v>562</v>
      </c>
      <c r="BE170" s="350">
        <v>1616000</v>
      </c>
      <c r="BF170" s="350">
        <v>4106000</v>
      </c>
      <c r="BG170" s="350">
        <v>186817000</v>
      </c>
      <c r="BH170" s="350">
        <v>116139000</v>
      </c>
      <c r="BI170" s="350">
        <v>308678000</v>
      </c>
      <c r="BX170" s="623"/>
      <c r="BY170" t="s">
        <v>824</v>
      </c>
      <c r="BZ170" t="s">
        <v>825</v>
      </c>
      <c r="CA170">
        <v>1</v>
      </c>
      <c r="CB170">
        <v>1</v>
      </c>
      <c r="CC170" t="s">
        <v>700</v>
      </c>
      <c r="CD170" s="286">
        <v>18160</v>
      </c>
      <c r="CE170" s="296">
        <v>303640</v>
      </c>
      <c r="CF170" s="261">
        <v>25202751</v>
      </c>
      <c r="CG170" s="261">
        <v>17109880</v>
      </c>
      <c r="CH170" s="202">
        <v>6</v>
      </c>
      <c r="CI170" s="261">
        <f t="shared" si="111"/>
        <v>1380.3735792495058</v>
      </c>
      <c r="CJ170" s="261">
        <f t="shared" si="112"/>
        <v>419136633.60331994</v>
      </c>
      <c r="CL170">
        <v>16800</v>
      </c>
      <c r="CM170" s="299">
        <v>2019</v>
      </c>
      <c r="CN170" s="299">
        <v>1550</v>
      </c>
      <c r="CO170" s="300" t="s">
        <v>258</v>
      </c>
      <c r="CP170" s="299">
        <v>755</v>
      </c>
      <c r="CQ170" s="299">
        <v>11</v>
      </c>
      <c r="CR170" s="294" t="s">
        <v>330</v>
      </c>
      <c r="CS170" s="294" t="s">
        <v>332</v>
      </c>
      <c r="CT170" s="294" t="s">
        <v>333</v>
      </c>
      <c r="CU170" s="301">
        <v>158376020</v>
      </c>
      <c r="DB170">
        <f t="shared" si="114"/>
        <v>28</v>
      </c>
      <c r="DC170" s="595" t="s">
        <v>971</v>
      </c>
      <c r="DD170" s="595" t="s">
        <v>972</v>
      </c>
      <c r="DE170" s="595" t="s">
        <v>690</v>
      </c>
      <c r="DF170" s="286">
        <v>158371</v>
      </c>
      <c r="DG170" s="286">
        <v>17053597</v>
      </c>
      <c r="DH170" s="286">
        <v>838004668</v>
      </c>
      <c r="DI170" s="286">
        <v>381404717</v>
      </c>
      <c r="DJ170">
        <v>20</v>
      </c>
      <c r="DK170" s="643">
        <f t="shared" si="115"/>
        <v>878.59703070032845</v>
      </c>
      <c r="DL170" s="408">
        <f t="shared" si="116"/>
        <v>14983239686.96003</v>
      </c>
      <c r="DM170" s="286"/>
      <c r="DN170" s="286"/>
      <c r="FH170">
        <v>20</v>
      </c>
      <c r="FI170" t="s">
        <v>953</v>
      </c>
      <c r="FJ170" t="s">
        <v>954</v>
      </c>
      <c r="FK170" t="s">
        <v>690</v>
      </c>
      <c r="FL170" s="286">
        <v>1096</v>
      </c>
      <c r="FM170" s="286">
        <v>105028</v>
      </c>
      <c r="FN170" s="286">
        <v>4890988</v>
      </c>
      <c r="FO170" s="286">
        <v>3536725</v>
      </c>
      <c r="FP170">
        <v>4</v>
      </c>
      <c r="FQ170" s="925">
        <v>372.51982588160462</v>
      </c>
      <c r="FR170" s="926">
        <v>39125012.272693172</v>
      </c>
      <c r="FS170">
        <v>0</v>
      </c>
    </row>
    <row r="171" spans="1:175" ht="16" customHeight="1">
      <c r="A171">
        <v>2016</v>
      </c>
      <c r="B171">
        <v>3050</v>
      </c>
      <c r="C171" t="s">
        <v>254</v>
      </c>
      <c r="D171" t="s">
        <v>245</v>
      </c>
      <c r="E171" s="203">
        <v>92</v>
      </c>
      <c r="F171" s="203" t="s">
        <v>246</v>
      </c>
      <c r="G171" s="203" t="s">
        <v>247</v>
      </c>
      <c r="H171" s="204" t="s">
        <v>249</v>
      </c>
      <c r="I171" s="202">
        <v>0</v>
      </c>
      <c r="J171" s="202">
        <v>0</v>
      </c>
      <c r="K171" s="202">
        <v>0</v>
      </c>
      <c r="L171" s="253"/>
      <c r="AA171" s="272">
        <v>2019</v>
      </c>
      <c r="AB171" s="272">
        <v>3740</v>
      </c>
      <c r="AC171" s="273" t="s">
        <v>244</v>
      </c>
      <c r="AD171" s="272" t="s">
        <v>489</v>
      </c>
      <c r="AE171" s="272">
        <v>54</v>
      </c>
      <c r="AF171" s="274" t="s">
        <v>493</v>
      </c>
      <c r="AG171" s="272">
        <v>0</v>
      </c>
      <c r="AH171" s="272">
        <v>0</v>
      </c>
      <c r="AI171" s="272">
        <v>0</v>
      </c>
      <c r="AJ171" s="272">
        <v>0</v>
      </c>
      <c r="AK171" s="272">
        <v>0</v>
      </c>
      <c r="AL171" s="352">
        <v>0</v>
      </c>
      <c r="AX171" s="254">
        <v>2019</v>
      </c>
      <c r="AY171" s="254">
        <v>1370</v>
      </c>
      <c r="AZ171" s="255" t="s">
        <v>255</v>
      </c>
      <c r="BA171" s="254">
        <v>410</v>
      </c>
      <c r="BB171" s="254">
        <v>301</v>
      </c>
      <c r="BC171" s="255" t="s">
        <v>555</v>
      </c>
      <c r="BD171" s="255" t="s">
        <v>203</v>
      </c>
      <c r="BE171" s="350">
        <v>6664000</v>
      </c>
      <c r="BF171" s="350">
        <v>457000</v>
      </c>
      <c r="BG171" s="350">
        <v>347000</v>
      </c>
      <c r="BH171" s="350">
        <v>567000</v>
      </c>
      <c r="BI171" s="350">
        <v>8035000</v>
      </c>
      <c r="BX171" s="623"/>
      <c r="BY171" t="s">
        <v>1271</v>
      </c>
      <c r="BZ171" t="s">
        <v>1272</v>
      </c>
      <c r="CA171">
        <v>1</v>
      </c>
      <c r="CB171">
        <v>1</v>
      </c>
      <c r="CC171" t="s">
        <v>700</v>
      </c>
      <c r="CD171" s="286">
        <v>1520</v>
      </c>
      <c r="CE171" s="296">
        <v>20840</v>
      </c>
      <c r="CF171" s="261">
        <v>2530560</v>
      </c>
      <c r="CG171" s="261">
        <v>1346126</v>
      </c>
      <c r="CH171" s="202">
        <v>6</v>
      </c>
      <c r="CI171" s="261">
        <f t="shared" si="111"/>
        <v>1380.3735792495058</v>
      </c>
      <c r="CJ171" s="261">
        <f t="shared" si="112"/>
        <v>28766985.391559701</v>
      </c>
      <c r="CL171">
        <v>221720</v>
      </c>
      <c r="CM171" s="299">
        <v>2019</v>
      </c>
      <c r="CN171" s="299">
        <v>1550</v>
      </c>
      <c r="CO171" s="300" t="s">
        <v>258</v>
      </c>
      <c r="CP171" s="299">
        <v>755</v>
      </c>
      <c r="CQ171" s="299">
        <v>12</v>
      </c>
      <c r="CR171" s="294" t="s">
        <v>330</v>
      </c>
      <c r="CS171" s="294" t="s">
        <v>334</v>
      </c>
      <c r="CT171" s="294" t="s">
        <v>335</v>
      </c>
      <c r="CU171" s="301">
        <v>5466042</v>
      </c>
      <c r="DB171">
        <f t="shared" si="114"/>
        <v>28</v>
      </c>
      <c r="DC171" s="595" t="s">
        <v>971</v>
      </c>
      <c r="DD171" s="595" t="s">
        <v>972</v>
      </c>
      <c r="DE171" s="595" t="s">
        <v>695</v>
      </c>
      <c r="DF171" s="286">
        <v>9920</v>
      </c>
      <c r="DG171" s="286">
        <v>877959.99999999988</v>
      </c>
      <c r="DH171" s="286">
        <v>42962696</v>
      </c>
      <c r="DI171" s="286">
        <v>19307585</v>
      </c>
      <c r="DJ171">
        <v>20</v>
      </c>
      <c r="DK171" s="643">
        <f t="shared" si="115"/>
        <v>878.59703070032845</v>
      </c>
      <c r="DL171" s="408">
        <f t="shared" si="116"/>
        <v>771373049.07366025</v>
      </c>
      <c r="DM171" s="286"/>
      <c r="DN171" s="286"/>
      <c r="FH171">
        <v>20</v>
      </c>
      <c r="FI171" t="s">
        <v>818</v>
      </c>
      <c r="FJ171" t="s">
        <v>819</v>
      </c>
      <c r="FK171" t="s">
        <v>690</v>
      </c>
      <c r="FL171" s="286">
        <v>51644</v>
      </c>
      <c r="FM171" s="286">
        <v>5245164.0000000009</v>
      </c>
      <c r="FN171" s="286">
        <v>180254261</v>
      </c>
      <c r="FO171" s="286">
        <v>100154600</v>
      </c>
      <c r="FP171">
        <v>6</v>
      </c>
      <c r="FQ171" s="925">
        <v>1380.3735792495058</v>
      </c>
      <c r="FR171" s="926">
        <v>7240285804.4306564</v>
      </c>
      <c r="FS171">
        <v>0</v>
      </c>
    </row>
    <row r="172" spans="1:175" ht="16" customHeight="1">
      <c r="A172">
        <v>2016</v>
      </c>
      <c r="B172">
        <v>3050</v>
      </c>
      <c r="C172" t="s">
        <v>254</v>
      </c>
      <c r="D172" t="s">
        <v>245</v>
      </c>
      <c r="E172" s="203">
        <v>93</v>
      </c>
      <c r="F172" s="203" t="s">
        <v>250</v>
      </c>
      <c r="G172" s="203" t="s">
        <v>247</v>
      </c>
      <c r="H172" s="203" t="s">
        <v>248</v>
      </c>
      <c r="I172" s="202">
        <v>335</v>
      </c>
      <c r="J172" s="202">
        <v>13602</v>
      </c>
      <c r="K172" s="202">
        <v>37453000</v>
      </c>
      <c r="L172" s="253"/>
      <c r="AA172" s="272">
        <v>2019</v>
      </c>
      <c r="AB172" s="272">
        <v>3740</v>
      </c>
      <c r="AC172" s="273" t="s">
        <v>244</v>
      </c>
      <c r="AD172" s="272" t="s">
        <v>489</v>
      </c>
      <c r="AE172" s="272">
        <v>55</v>
      </c>
      <c r="AF172" s="274" t="s">
        <v>494</v>
      </c>
      <c r="AG172" s="272">
        <v>62160</v>
      </c>
      <c r="AH172" s="272">
        <v>0</v>
      </c>
      <c r="AI172" s="272">
        <v>56876</v>
      </c>
      <c r="AJ172" s="272">
        <v>0</v>
      </c>
      <c r="AK172" s="272">
        <v>5788292</v>
      </c>
      <c r="AL172" s="352">
        <v>101.77037766368943</v>
      </c>
      <c r="AX172" s="254">
        <v>2019</v>
      </c>
      <c r="AY172" s="254">
        <v>1370</v>
      </c>
      <c r="AZ172" s="255" t="s">
        <v>255</v>
      </c>
      <c r="BA172" s="254">
        <v>410</v>
      </c>
      <c r="BB172" s="254">
        <v>302</v>
      </c>
      <c r="BC172" s="255" t="s">
        <v>555</v>
      </c>
      <c r="BD172" s="255" t="s">
        <v>556</v>
      </c>
      <c r="BE172" s="350">
        <v>0</v>
      </c>
      <c r="BF172" s="350">
        <v>0</v>
      </c>
      <c r="BG172" s="350">
        <v>1854000</v>
      </c>
      <c r="BH172" s="350">
        <v>0</v>
      </c>
      <c r="BI172" s="350">
        <v>1854000</v>
      </c>
      <c r="BX172" s="623"/>
      <c r="BY172" t="s">
        <v>947</v>
      </c>
      <c r="BZ172" t="s">
        <v>948</v>
      </c>
      <c r="CA172">
        <v>1</v>
      </c>
      <c r="CB172">
        <v>1</v>
      </c>
      <c r="CC172" t="s">
        <v>700</v>
      </c>
      <c r="CD172" s="286">
        <v>6200</v>
      </c>
      <c r="CE172" s="296">
        <v>117000</v>
      </c>
      <c r="CF172" s="261">
        <v>7268550</v>
      </c>
      <c r="CG172" s="261">
        <v>5225525</v>
      </c>
      <c r="CH172" s="202">
        <v>7</v>
      </c>
      <c r="CI172" s="261">
        <f t="shared" si="111"/>
        <v>1047.1475692534934</v>
      </c>
      <c r="CJ172" s="261">
        <f t="shared" si="112"/>
        <v>122516265.60265873</v>
      </c>
      <c r="CL172">
        <v>56600</v>
      </c>
      <c r="CM172" s="299">
        <v>2019</v>
      </c>
      <c r="CN172" s="299">
        <v>1550</v>
      </c>
      <c r="CO172" s="300" t="s">
        <v>258</v>
      </c>
      <c r="CP172" s="299">
        <v>755</v>
      </c>
      <c r="CQ172" s="299">
        <v>13</v>
      </c>
      <c r="CR172" s="294" t="s">
        <v>330</v>
      </c>
      <c r="CS172" s="294" t="s">
        <v>336</v>
      </c>
      <c r="CT172" s="294" t="s">
        <v>308</v>
      </c>
      <c r="CU172" s="301">
        <v>11483744</v>
      </c>
      <c r="DB172">
        <f t="shared" si="114"/>
        <v>28</v>
      </c>
      <c r="DC172" s="595" t="s">
        <v>1127</v>
      </c>
      <c r="DD172" s="595" t="s">
        <v>1128</v>
      </c>
      <c r="DE172" s="595" t="s">
        <v>695</v>
      </c>
      <c r="DF172" s="286">
        <v>10800</v>
      </c>
      <c r="DG172" s="286">
        <v>1082600</v>
      </c>
      <c r="DH172" s="286">
        <v>49661540</v>
      </c>
      <c r="DI172" s="286">
        <v>22745148</v>
      </c>
      <c r="DJ172">
        <v>20</v>
      </c>
      <c r="DK172" s="643">
        <f t="shared" si="115"/>
        <v>878.59703070032845</v>
      </c>
      <c r="DL172" s="408">
        <f t="shared" si="116"/>
        <v>951169145.43617558</v>
      </c>
      <c r="DM172" s="286"/>
      <c r="DN172" s="286"/>
      <c r="FH172">
        <v>20</v>
      </c>
      <c r="FI172" t="s">
        <v>935</v>
      </c>
      <c r="FJ172" t="s">
        <v>936</v>
      </c>
      <c r="FK172" t="s">
        <v>690</v>
      </c>
      <c r="FL172" s="286">
        <v>4244</v>
      </c>
      <c r="FM172" s="286">
        <v>349320</v>
      </c>
      <c r="FN172" s="286">
        <v>17816345.999999996</v>
      </c>
      <c r="FO172" s="286">
        <v>11588684</v>
      </c>
      <c r="FP172">
        <v>6</v>
      </c>
      <c r="FQ172" s="925">
        <v>1380.3735792495058</v>
      </c>
      <c r="FR172" s="926">
        <v>482192098.70343739</v>
      </c>
      <c r="FS172">
        <v>0</v>
      </c>
    </row>
    <row r="173" spans="1:175" ht="16" customHeight="1">
      <c r="A173">
        <v>2016</v>
      </c>
      <c r="B173">
        <v>3050</v>
      </c>
      <c r="C173" t="s">
        <v>254</v>
      </c>
      <c r="D173" t="s">
        <v>245</v>
      </c>
      <c r="E173" s="203">
        <v>94</v>
      </c>
      <c r="F173" s="203" t="s">
        <v>250</v>
      </c>
      <c r="G173" s="203" t="s">
        <v>247</v>
      </c>
      <c r="H173" s="204" t="s">
        <v>249</v>
      </c>
      <c r="I173" s="202">
        <v>0</v>
      </c>
      <c r="J173" s="202">
        <v>0</v>
      </c>
      <c r="K173" s="202">
        <v>0</v>
      </c>
      <c r="L173" s="253"/>
      <c r="AX173" s="254">
        <v>2019</v>
      </c>
      <c r="AY173" s="254">
        <v>1370</v>
      </c>
      <c r="AZ173" s="255" t="s">
        <v>255</v>
      </c>
      <c r="BA173" s="254">
        <v>410</v>
      </c>
      <c r="BB173" s="254">
        <v>303</v>
      </c>
      <c r="BC173" s="255" t="s">
        <v>555</v>
      </c>
      <c r="BD173" s="255" t="s">
        <v>557</v>
      </c>
      <c r="BE173" s="350">
        <v>0</v>
      </c>
      <c r="BF173" s="350">
        <v>278000</v>
      </c>
      <c r="BG173" s="350">
        <v>96000</v>
      </c>
      <c r="BH173" s="350">
        <v>0</v>
      </c>
      <c r="BI173" s="350">
        <v>374000</v>
      </c>
      <c r="BX173" s="623"/>
      <c r="BY173" t="s">
        <v>1273</v>
      </c>
      <c r="BZ173" t="s">
        <v>1274</v>
      </c>
      <c r="CA173">
        <v>1</v>
      </c>
      <c r="CB173">
        <v>1</v>
      </c>
      <c r="CC173" t="s">
        <v>700</v>
      </c>
      <c r="CD173" s="286">
        <v>760</v>
      </c>
      <c r="CE173" s="296">
        <v>10120</v>
      </c>
      <c r="CF173" s="261">
        <v>664497</v>
      </c>
      <c r="CG173" s="261">
        <v>586111</v>
      </c>
      <c r="CH173" s="202">
        <v>7</v>
      </c>
      <c r="CI173" s="261">
        <f t="shared" si="111"/>
        <v>1047.1475692534934</v>
      </c>
      <c r="CJ173" s="261">
        <f t="shared" si="112"/>
        <v>10597133.400845354</v>
      </c>
      <c r="CL173">
        <v>440640</v>
      </c>
      <c r="CM173" s="299">
        <v>2019</v>
      </c>
      <c r="CN173" s="299">
        <v>1550</v>
      </c>
      <c r="CO173" s="300" t="s">
        <v>258</v>
      </c>
      <c r="CP173" s="299">
        <v>755</v>
      </c>
      <c r="CQ173" s="299">
        <v>14</v>
      </c>
      <c r="CR173" s="294" t="s">
        <v>330</v>
      </c>
      <c r="CS173" s="294" t="s">
        <v>337</v>
      </c>
      <c r="CT173" s="294" t="s">
        <v>338</v>
      </c>
      <c r="CU173" s="301">
        <v>175325806</v>
      </c>
      <c r="DB173">
        <f t="shared" si="114"/>
        <v>28</v>
      </c>
      <c r="DC173" s="595" t="s">
        <v>973</v>
      </c>
      <c r="DD173" s="595" t="s">
        <v>974</v>
      </c>
      <c r="DE173" s="595" t="s">
        <v>690</v>
      </c>
      <c r="DF173" s="286">
        <v>164013</v>
      </c>
      <c r="DG173" s="286">
        <v>17204503</v>
      </c>
      <c r="DH173" s="286">
        <v>413834972</v>
      </c>
      <c r="DI173" s="286">
        <v>227448088</v>
      </c>
      <c r="DJ173">
        <v>20</v>
      </c>
      <c r="DK173" s="643">
        <f t="shared" si="115"/>
        <v>878.59703070032845</v>
      </c>
      <c r="DL173" s="408">
        <f t="shared" si="116"/>
        <v>15115825250.474894</v>
      </c>
      <c r="DM173" s="286"/>
      <c r="DN173" s="286"/>
      <c r="FH173">
        <v>20</v>
      </c>
      <c r="FI173" t="s">
        <v>820</v>
      </c>
      <c r="FJ173" t="s">
        <v>821</v>
      </c>
      <c r="FK173" t="s">
        <v>690</v>
      </c>
      <c r="FL173" s="286">
        <v>9156</v>
      </c>
      <c r="FM173" s="286">
        <v>872460</v>
      </c>
      <c r="FN173" s="286">
        <v>33676089</v>
      </c>
      <c r="FO173" s="286">
        <v>19864064</v>
      </c>
      <c r="FP173">
        <v>6</v>
      </c>
      <c r="FQ173" s="925">
        <v>1380.3735792495058</v>
      </c>
      <c r="FR173" s="926">
        <v>1204320732.9520237</v>
      </c>
      <c r="FS173">
        <v>0</v>
      </c>
    </row>
    <row r="174" spans="1:175" ht="16" customHeight="1">
      <c r="A174">
        <v>2016</v>
      </c>
      <c r="B174">
        <v>3050</v>
      </c>
      <c r="C174" t="s">
        <v>254</v>
      </c>
      <c r="D174" t="s">
        <v>245</v>
      </c>
      <c r="E174" s="203">
        <v>97</v>
      </c>
      <c r="F174" s="203" t="s">
        <v>251</v>
      </c>
      <c r="G174" s="203" t="s">
        <v>247</v>
      </c>
      <c r="H174" s="203" t="s">
        <v>248</v>
      </c>
      <c r="I174" s="202">
        <v>0</v>
      </c>
      <c r="J174" s="202">
        <v>0</v>
      </c>
      <c r="K174" s="202">
        <v>0</v>
      </c>
      <c r="L174" s="253"/>
      <c r="AX174" s="254">
        <v>2019</v>
      </c>
      <c r="AY174" s="254">
        <v>1370</v>
      </c>
      <c r="AZ174" s="255" t="s">
        <v>255</v>
      </c>
      <c r="BA174" s="254">
        <v>410</v>
      </c>
      <c r="BB174" s="254">
        <v>304</v>
      </c>
      <c r="BC174" s="255" t="s">
        <v>555</v>
      </c>
      <c r="BD174" s="255" t="s">
        <v>558</v>
      </c>
      <c r="BE174" s="350">
        <v>0</v>
      </c>
      <c r="BF174" s="350">
        <v>72000</v>
      </c>
      <c r="BG174" s="350">
        <v>0</v>
      </c>
      <c r="BH174" s="350">
        <v>0</v>
      </c>
      <c r="BI174" s="350">
        <v>72000</v>
      </c>
      <c r="BX174" s="623"/>
      <c r="BY174" t="s">
        <v>953</v>
      </c>
      <c r="BZ174" t="s">
        <v>954</v>
      </c>
      <c r="CA174">
        <v>1</v>
      </c>
      <c r="CB174">
        <v>1</v>
      </c>
      <c r="CC174" t="s">
        <v>699</v>
      </c>
      <c r="CD174" s="286">
        <v>400</v>
      </c>
      <c r="CE174" s="296">
        <v>8000</v>
      </c>
      <c r="CF174" s="261">
        <v>519559.99999999994</v>
      </c>
      <c r="CG174" s="261">
        <v>342863</v>
      </c>
      <c r="CH174" s="202">
        <v>4</v>
      </c>
      <c r="CI174" s="261">
        <f t="shared" si="111"/>
        <v>372.51982588160462</v>
      </c>
      <c r="CJ174" s="261">
        <f t="shared" si="112"/>
        <v>2980158.607052837</v>
      </c>
      <c r="CL174">
        <v>62920</v>
      </c>
      <c r="CM174" s="299">
        <v>2019</v>
      </c>
      <c r="CN174" s="299">
        <v>1550</v>
      </c>
      <c r="CO174" s="300" t="s">
        <v>258</v>
      </c>
      <c r="CP174" s="299">
        <v>755</v>
      </c>
      <c r="CQ174" s="299">
        <v>15</v>
      </c>
      <c r="CR174" s="294" t="s">
        <v>385</v>
      </c>
      <c r="CS174" s="294" t="s">
        <v>386</v>
      </c>
      <c r="CT174" s="294" t="s">
        <v>387</v>
      </c>
      <c r="CU174" s="301">
        <v>0</v>
      </c>
      <c r="DB174">
        <f t="shared" si="114"/>
        <v>28</v>
      </c>
      <c r="DC174" s="595" t="s">
        <v>851</v>
      </c>
      <c r="DD174" s="595" t="s">
        <v>852</v>
      </c>
      <c r="DE174" s="595" t="s">
        <v>687</v>
      </c>
      <c r="DF174" s="286">
        <v>280</v>
      </c>
      <c r="DG174" s="286">
        <v>23000</v>
      </c>
      <c r="DH174" s="286">
        <v>1430508</v>
      </c>
      <c r="DI174" s="286">
        <v>1103167</v>
      </c>
      <c r="DJ174">
        <v>20</v>
      </c>
      <c r="DK174" s="643">
        <f t="shared" si="115"/>
        <v>878.59703070032845</v>
      </c>
      <c r="DL174" s="408">
        <f t="shared" si="116"/>
        <v>20207731.706107553</v>
      </c>
      <c r="DM174" s="286"/>
      <c r="DN174" s="286"/>
      <c r="FH174">
        <v>20</v>
      </c>
      <c r="FI174" t="s">
        <v>937</v>
      </c>
      <c r="FJ174" t="s">
        <v>938</v>
      </c>
      <c r="FK174" t="s">
        <v>690</v>
      </c>
      <c r="FL174" s="286">
        <v>1320</v>
      </c>
      <c r="FM174" s="286">
        <v>125040</v>
      </c>
      <c r="FN174" s="286">
        <v>5829542</v>
      </c>
      <c r="FO174" s="286">
        <v>2006508</v>
      </c>
      <c r="FP174">
        <v>6</v>
      </c>
      <c r="FQ174" s="925">
        <v>1380.3735792495058</v>
      </c>
      <c r="FR174" s="926">
        <v>172601912.3493582</v>
      </c>
      <c r="FS174">
        <v>0</v>
      </c>
    </row>
    <row r="175" spans="1:175" ht="16" customHeight="1">
      <c r="A175">
        <v>2016</v>
      </c>
      <c r="B175">
        <v>3050</v>
      </c>
      <c r="C175" t="s">
        <v>254</v>
      </c>
      <c r="D175" t="s">
        <v>245</v>
      </c>
      <c r="E175" s="203">
        <v>98</v>
      </c>
      <c r="F175" s="203" t="s">
        <v>251</v>
      </c>
      <c r="G175" s="203" t="s">
        <v>247</v>
      </c>
      <c r="H175" s="204" t="s">
        <v>249</v>
      </c>
      <c r="I175" s="202">
        <v>0</v>
      </c>
      <c r="J175" s="202">
        <v>0</v>
      </c>
      <c r="K175" s="202">
        <v>0</v>
      </c>
      <c r="L175" s="253"/>
      <c r="AX175" s="254">
        <v>2019</v>
      </c>
      <c r="AY175" s="254">
        <v>1370</v>
      </c>
      <c r="AZ175" s="255" t="s">
        <v>255</v>
      </c>
      <c r="BA175" s="254">
        <v>410</v>
      </c>
      <c r="BB175" s="254">
        <v>305</v>
      </c>
      <c r="BC175" s="255" t="s">
        <v>555</v>
      </c>
      <c r="BD175" s="255" t="s">
        <v>559</v>
      </c>
      <c r="BE175" s="350">
        <v>0</v>
      </c>
      <c r="BF175" s="350">
        <v>0</v>
      </c>
      <c r="BG175" s="350">
        <v>0</v>
      </c>
      <c r="BH175" s="350">
        <v>0</v>
      </c>
      <c r="BI175" s="350">
        <v>0</v>
      </c>
      <c r="BX175" s="623"/>
      <c r="BY175" t="s">
        <v>953</v>
      </c>
      <c r="BZ175" t="s">
        <v>954</v>
      </c>
      <c r="CA175">
        <v>1</v>
      </c>
      <c r="CB175">
        <v>1</v>
      </c>
      <c r="CC175" t="s">
        <v>700</v>
      </c>
      <c r="CD175" s="286">
        <v>38120</v>
      </c>
      <c r="CE175" s="296">
        <v>642640</v>
      </c>
      <c r="CF175" s="261">
        <v>41430022</v>
      </c>
      <c r="CG175" s="261">
        <v>29978758</v>
      </c>
      <c r="CH175" s="202">
        <v>4</v>
      </c>
      <c r="CI175" s="261">
        <f t="shared" si="111"/>
        <v>372.51982588160462</v>
      </c>
      <c r="CJ175" s="261">
        <f t="shared" si="112"/>
        <v>239396140.9045544</v>
      </c>
      <c r="CL175">
        <v>44840</v>
      </c>
      <c r="CM175" s="299">
        <v>2019</v>
      </c>
      <c r="CN175" s="299">
        <v>1550</v>
      </c>
      <c r="CO175" s="300" t="s">
        <v>258</v>
      </c>
      <c r="CP175" s="299">
        <v>755</v>
      </c>
      <c r="CQ175" s="299">
        <v>16</v>
      </c>
      <c r="CR175" s="294" t="s">
        <v>385</v>
      </c>
      <c r="CS175" s="294" t="s">
        <v>386</v>
      </c>
      <c r="CT175" s="294" t="s">
        <v>388</v>
      </c>
      <c r="CU175" s="301">
        <v>6354000</v>
      </c>
      <c r="DB175">
        <f t="shared" si="114"/>
        <v>28</v>
      </c>
      <c r="DC175" s="595" t="s">
        <v>851</v>
      </c>
      <c r="DD175" s="595" t="s">
        <v>852</v>
      </c>
      <c r="DE175" s="595" t="s">
        <v>690</v>
      </c>
      <c r="DF175" s="286">
        <v>2280</v>
      </c>
      <c r="DG175" s="286">
        <v>212920</v>
      </c>
      <c r="DH175" s="286">
        <v>8044603</v>
      </c>
      <c r="DI175" s="286">
        <v>2967066</v>
      </c>
      <c r="DJ175">
        <v>20</v>
      </c>
      <c r="DK175" s="643">
        <f t="shared" si="115"/>
        <v>878.59703070032845</v>
      </c>
      <c r="DL175" s="408">
        <f t="shared" si="116"/>
        <v>187070879.77671394</v>
      </c>
      <c r="DM175" s="286"/>
      <c r="DN175" s="286"/>
      <c r="FH175">
        <v>20</v>
      </c>
      <c r="FI175" t="s">
        <v>939</v>
      </c>
      <c r="FJ175" t="s">
        <v>940</v>
      </c>
      <c r="FK175" t="s">
        <v>690</v>
      </c>
      <c r="FL175" s="286">
        <v>360</v>
      </c>
      <c r="FM175" s="286">
        <v>34760</v>
      </c>
      <c r="FN175" s="286">
        <v>1318360</v>
      </c>
      <c r="FO175" s="286">
        <v>615716</v>
      </c>
      <c r="FP175">
        <v>6</v>
      </c>
      <c r="FQ175" s="925">
        <v>1380.3735792495058</v>
      </c>
      <c r="FR175" s="926">
        <v>47981785.614712819</v>
      </c>
      <c r="FS175">
        <v>0</v>
      </c>
    </row>
    <row r="176" spans="1:175" ht="16" customHeight="1">
      <c r="A176">
        <v>2016</v>
      </c>
      <c r="B176">
        <v>1370</v>
      </c>
      <c r="C176" t="s">
        <v>255</v>
      </c>
      <c r="D176" t="s">
        <v>245</v>
      </c>
      <c r="E176" s="203">
        <v>91</v>
      </c>
      <c r="F176" s="203" t="s">
        <v>246</v>
      </c>
      <c r="G176" s="203" t="s">
        <v>247</v>
      </c>
      <c r="H176" s="203" t="s">
        <v>248</v>
      </c>
      <c r="I176" s="202">
        <v>90</v>
      </c>
      <c r="J176" s="202">
        <v>18728</v>
      </c>
      <c r="K176" s="202">
        <v>257526000</v>
      </c>
      <c r="L176" s="253"/>
      <c r="AX176" s="254">
        <v>2019</v>
      </c>
      <c r="AY176" s="254">
        <v>1370</v>
      </c>
      <c r="AZ176" s="255" t="s">
        <v>255</v>
      </c>
      <c r="BA176" s="254">
        <v>410</v>
      </c>
      <c r="BB176" s="254">
        <v>306</v>
      </c>
      <c r="BC176" s="255" t="s">
        <v>555</v>
      </c>
      <c r="BD176" s="255" t="s">
        <v>560</v>
      </c>
      <c r="BE176" s="350">
        <v>93000</v>
      </c>
      <c r="BF176" s="350">
        <v>0</v>
      </c>
      <c r="BG176" s="350">
        <v>0</v>
      </c>
      <c r="BH176" s="350">
        <v>0</v>
      </c>
      <c r="BI176" s="350">
        <v>93000</v>
      </c>
      <c r="BX176" s="623"/>
      <c r="BY176" t="s">
        <v>1275</v>
      </c>
      <c r="BZ176" t="s">
        <v>1276</v>
      </c>
      <c r="CA176">
        <v>1</v>
      </c>
      <c r="CB176">
        <v>1</v>
      </c>
      <c r="CC176" t="s">
        <v>700</v>
      </c>
      <c r="CD176" s="286">
        <v>6080</v>
      </c>
      <c r="CE176" s="296">
        <v>83960</v>
      </c>
      <c r="CF176" s="261">
        <v>7372201</v>
      </c>
      <c r="CG176" s="261">
        <v>4819638</v>
      </c>
      <c r="CH176" s="202">
        <v>7</v>
      </c>
      <c r="CI176" s="261">
        <f t="shared" si="111"/>
        <v>1047.1475692534934</v>
      </c>
      <c r="CJ176" s="261">
        <f t="shared" si="112"/>
        <v>87918509.914523304</v>
      </c>
      <c r="CL176">
        <v>190480</v>
      </c>
      <c r="CM176" s="299">
        <v>2019</v>
      </c>
      <c r="CN176" s="299">
        <v>1550</v>
      </c>
      <c r="CO176" s="300" t="s">
        <v>258</v>
      </c>
      <c r="CP176" s="299">
        <v>755</v>
      </c>
      <c r="CQ176" s="299">
        <v>17</v>
      </c>
      <c r="CR176" s="294" t="s">
        <v>385</v>
      </c>
      <c r="CS176" s="294" t="s">
        <v>386</v>
      </c>
      <c r="CT176" s="294" t="s">
        <v>389</v>
      </c>
      <c r="CU176" s="301">
        <v>80772000</v>
      </c>
      <c r="DB176">
        <f t="shared" si="114"/>
        <v>28</v>
      </c>
      <c r="DC176" s="595" t="s">
        <v>851</v>
      </c>
      <c r="DD176" s="595" t="s">
        <v>852</v>
      </c>
      <c r="DE176" s="595" t="s">
        <v>695</v>
      </c>
      <c r="DF176" s="286">
        <v>16520</v>
      </c>
      <c r="DG176" s="286">
        <v>1636200</v>
      </c>
      <c r="DH176" s="286">
        <v>81763361</v>
      </c>
      <c r="DI176" s="286">
        <v>37830264</v>
      </c>
      <c r="DJ176">
        <v>20</v>
      </c>
      <c r="DK176" s="643">
        <f t="shared" si="115"/>
        <v>878.59703070032845</v>
      </c>
      <c r="DL176" s="408">
        <f t="shared" si="116"/>
        <v>1437560461.6318774</v>
      </c>
      <c r="DM176" s="286"/>
      <c r="DN176" s="286"/>
      <c r="FH176">
        <v>20</v>
      </c>
      <c r="FI176" t="s">
        <v>941</v>
      </c>
      <c r="FJ176" t="s">
        <v>942</v>
      </c>
      <c r="FK176" t="s">
        <v>690</v>
      </c>
      <c r="FL176" s="286">
        <v>29796</v>
      </c>
      <c r="FM176" s="286">
        <v>2996148</v>
      </c>
      <c r="FN176" s="286">
        <v>98064563</v>
      </c>
      <c r="FO176" s="286">
        <v>59604201</v>
      </c>
      <c r="FP176">
        <v>6</v>
      </c>
      <c r="FQ176" s="925">
        <v>1380.3735792495058</v>
      </c>
      <c r="FR176" s="926">
        <v>4135803538.7212486</v>
      </c>
      <c r="FS176">
        <v>0</v>
      </c>
    </row>
    <row r="177" spans="1:175" ht="16" customHeight="1">
      <c r="A177">
        <v>2016</v>
      </c>
      <c r="B177">
        <v>1370</v>
      </c>
      <c r="C177" t="s">
        <v>255</v>
      </c>
      <c r="D177" t="s">
        <v>245</v>
      </c>
      <c r="E177" s="203">
        <v>92</v>
      </c>
      <c r="F177" s="203" t="s">
        <v>246</v>
      </c>
      <c r="G177" s="203" t="s">
        <v>247</v>
      </c>
      <c r="H177" s="204" t="s">
        <v>249</v>
      </c>
      <c r="I177" s="202">
        <v>0</v>
      </c>
      <c r="J177" s="202">
        <v>0</v>
      </c>
      <c r="K177" s="202">
        <v>0</v>
      </c>
      <c r="L177" s="253"/>
      <c r="AX177" s="254">
        <v>2019</v>
      </c>
      <c r="AY177" s="254">
        <v>1370</v>
      </c>
      <c r="AZ177" s="255" t="s">
        <v>255</v>
      </c>
      <c r="BA177" s="254">
        <v>410</v>
      </c>
      <c r="BB177" s="254">
        <v>307</v>
      </c>
      <c r="BC177" s="255" t="s">
        <v>555</v>
      </c>
      <c r="BD177" s="255" t="s">
        <v>561</v>
      </c>
      <c r="BE177" s="350">
        <v>2359000</v>
      </c>
      <c r="BF177" s="350">
        <v>903000</v>
      </c>
      <c r="BG177" s="350">
        <v>1161000</v>
      </c>
      <c r="BH177" s="350">
        <v>918000</v>
      </c>
      <c r="BI177" s="350">
        <v>5341000</v>
      </c>
      <c r="BX177" s="623"/>
      <c r="BY177" t="s">
        <v>1277</v>
      </c>
      <c r="BZ177" t="s">
        <v>1278</v>
      </c>
      <c r="CA177">
        <v>1</v>
      </c>
      <c r="CB177">
        <v>1</v>
      </c>
      <c r="CC177" t="s">
        <v>700</v>
      </c>
      <c r="CD177" s="286">
        <v>4200</v>
      </c>
      <c r="CE177" s="296">
        <v>59360</v>
      </c>
      <c r="CF177" s="261">
        <v>4961474</v>
      </c>
      <c r="CG177" s="261">
        <v>3629251</v>
      </c>
      <c r="CH177" s="202">
        <v>7</v>
      </c>
      <c r="CI177" s="261">
        <f t="shared" si="111"/>
        <v>1047.1475692534934</v>
      </c>
      <c r="CJ177" s="261">
        <f t="shared" si="112"/>
        <v>62158679.710887372</v>
      </c>
      <c r="CL177">
        <v>419520</v>
      </c>
      <c r="CM177" s="299">
        <v>2019</v>
      </c>
      <c r="CN177" s="299">
        <v>1550</v>
      </c>
      <c r="CO177" s="300" t="s">
        <v>258</v>
      </c>
      <c r="CP177" s="299">
        <v>755</v>
      </c>
      <c r="CQ177" s="299">
        <v>18</v>
      </c>
      <c r="CR177" s="294" t="s">
        <v>385</v>
      </c>
      <c r="CS177" s="294" t="s">
        <v>386</v>
      </c>
      <c r="CT177" s="294" t="s">
        <v>390</v>
      </c>
      <c r="CU177" s="301">
        <v>159411000</v>
      </c>
      <c r="DB177">
        <f t="shared" si="114"/>
        <v>28</v>
      </c>
      <c r="DC177" s="595" t="s">
        <v>1129</v>
      </c>
      <c r="DD177" s="595" t="s">
        <v>1130</v>
      </c>
      <c r="DE177" s="595" t="s">
        <v>695</v>
      </c>
      <c r="DF177" s="286">
        <v>28936</v>
      </c>
      <c r="DG177" s="286">
        <v>2565720</v>
      </c>
      <c r="DH177" s="286">
        <v>215381739</v>
      </c>
      <c r="DI177" s="286">
        <v>33756000</v>
      </c>
      <c r="DJ177">
        <v>20</v>
      </c>
      <c r="DK177" s="643">
        <f t="shared" si="115"/>
        <v>878.59703070032845</v>
      </c>
      <c r="DL177" s="408">
        <f t="shared" si="116"/>
        <v>2254233973.6084466</v>
      </c>
      <c r="DM177" s="286"/>
      <c r="DN177" s="286"/>
      <c r="FH177">
        <v>20</v>
      </c>
      <c r="FI177" t="s">
        <v>824</v>
      </c>
      <c r="FJ177" t="s">
        <v>825</v>
      </c>
      <c r="FK177" t="s">
        <v>690</v>
      </c>
      <c r="FL177" s="286">
        <v>6328</v>
      </c>
      <c r="FM177" s="286">
        <v>632568</v>
      </c>
      <c r="FN177" s="286">
        <v>30770096</v>
      </c>
      <c r="FO177" s="286">
        <v>15803911</v>
      </c>
      <c r="FP177">
        <v>6</v>
      </c>
      <c r="FQ177" s="925">
        <v>1380.3735792495058</v>
      </c>
      <c r="FR177" s="926">
        <v>873180154.27870142</v>
      </c>
      <c r="FS177">
        <v>0</v>
      </c>
    </row>
    <row r="178" spans="1:175" ht="16" customHeight="1">
      <c r="A178">
        <v>2016</v>
      </c>
      <c r="B178">
        <v>1370</v>
      </c>
      <c r="C178" t="s">
        <v>255</v>
      </c>
      <c r="D178" t="s">
        <v>245</v>
      </c>
      <c r="E178" s="203">
        <v>93</v>
      </c>
      <c r="F178" s="203" t="s">
        <v>250</v>
      </c>
      <c r="G178" s="203" t="s">
        <v>247</v>
      </c>
      <c r="H178" s="203" t="s">
        <v>248</v>
      </c>
      <c r="I178" s="202">
        <v>0</v>
      </c>
      <c r="J178" s="202">
        <v>0</v>
      </c>
      <c r="K178" s="202">
        <v>0</v>
      </c>
      <c r="L178" s="253"/>
      <c r="AX178" s="254">
        <v>2019</v>
      </c>
      <c r="AY178" s="254">
        <v>1370</v>
      </c>
      <c r="AZ178" s="255" t="s">
        <v>255</v>
      </c>
      <c r="BA178" s="254">
        <v>410</v>
      </c>
      <c r="BB178" s="254">
        <v>308</v>
      </c>
      <c r="BC178" s="255" t="s">
        <v>555</v>
      </c>
      <c r="BD178" s="255" t="s">
        <v>560</v>
      </c>
      <c r="BE178" s="350">
        <v>0</v>
      </c>
      <c r="BF178" s="350">
        <v>0</v>
      </c>
      <c r="BG178" s="350">
        <v>0</v>
      </c>
      <c r="BH178" s="350">
        <v>0</v>
      </c>
      <c r="BI178" s="350">
        <v>0</v>
      </c>
      <c r="BX178" s="623"/>
      <c r="BY178" t="s">
        <v>826</v>
      </c>
      <c r="BZ178" t="s">
        <v>827</v>
      </c>
      <c r="CA178">
        <v>1</v>
      </c>
      <c r="CB178">
        <v>1</v>
      </c>
      <c r="CC178" t="s">
        <v>700</v>
      </c>
      <c r="CD178" s="286">
        <v>1600</v>
      </c>
      <c r="CE178" s="296">
        <v>26560</v>
      </c>
      <c r="CF178" s="261">
        <v>1261160</v>
      </c>
      <c r="CG178" s="261">
        <v>1061283</v>
      </c>
      <c r="CH178" s="202">
        <v>7</v>
      </c>
      <c r="CI178" s="261">
        <f t="shared" si="111"/>
        <v>1047.1475692534934</v>
      </c>
      <c r="CJ178" s="261">
        <f t="shared" si="112"/>
        <v>27812239.439372785</v>
      </c>
      <c r="CL178">
        <v>225600</v>
      </c>
      <c r="CM178" s="299">
        <v>2019</v>
      </c>
      <c r="CN178" s="299">
        <v>1550</v>
      </c>
      <c r="CO178" s="300" t="s">
        <v>258</v>
      </c>
      <c r="CP178" s="299">
        <v>755</v>
      </c>
      <c r="CQ178" s="299">
        <v>19</v>
      </c>
      <c r="CR178" s="294" t="s">
        <v>385</v>
      </c>
      <c r="CS178" s="294" t="s">
        <v>386</v>
      </c>
      <c r="CT178" s="294" t="s">
        <v>391</v>
      </c>
      <c r="CU178" s="301">
        <v>65896000</v>
      </c>
      <c r="DB178">
        <f t="shared" si="114"/>
        <v>28</v>
      </c>
      <c r="DC178" s="595" t="s">
        <v>1131</v>
      </c>
      <c r="DD178" s="595" t="s">
        <v>1132</v>
      </c>
      <c r="DE178" s="595" t="s">
        <v>695</v>
      </c>
      <c r="DF178" s="286">
        <v>10012</v>
      </c>
      <c r="DG178" s="286">
        <v>809608</v>
      </c>
      <c r="DH178" s="286">
        <v>41756607</v>
      </c>
      <c r="DI178" s="286">
        <v>20379273</v>
      </c>
      <c r="DJ178">
        <v>20</v>
      </c>
      <c r="DK178" s="643">
        <f t="shared" si="115"/>
        <v>878.59703070032845</v>
      </c>
      <c r="DL178" s="408">
        <f t="shared" si="116"/>
        <v>711319184.83123147</v>
      </c>
      <c r="DM178" s="286"/>
      <c r="DN178" s="286"/>
      <c r="FH178">
        <v>20</v>
      </c>
      <c r="FI178" t="s">
        <v>943</v>
      </c>
      <c r="FJ178" t="s">
        <v>944</v>
      </c>
      <c r="FK178" t="s">
        <v>690</v>
      </c>
      <c r="FL178" s="286">
        <v>5836</v>
      </c>
      <c r="FM178" s="286">
        <v>600248</v>
      </c>
      <c r="FN178" s="286">
        <v>28753892</v>
      </c>
      <c r="FO178" s="286">
        <v>14550525.000000002</v>
      </c>
      <c r="FP178">
        <v>6</v>
      </c>
      <c r="FQ178" s="925">
        <v>1380.3735792495058</v>
      </c>
      <c r="FR178" s="926">
        <v>828566480.19735742</v>
      </c>
      <c r="FS178">
        <v>0</v>
      </c>
    </row>
    <row r="179" spans="1:175" ht="16" customHeight="1">
      <c r="A179">
        <v>2016</v>
      </c>
      <c r="B179">
        <v>1370</v>
      </c>
      <c r="C179" t="s">
        <v>255</v>
      </c>
      <c r="D179" t="s">
        <v>245</v>
      </c>
      <c r="E179" s="203">
        <v>94</v>
      </c>
      <c r="F179" s="203" t="s">
        <v>250</v>
      </c>
      <c r="G179" s="203" t="s">
        <v>247</v>
      </c>
      <c r="H179" s="204" t="s">
        <v>249</v>
      </c>
      <c r="I179" s="202">
        <v>0</v>
      </c>
      <c r="J179" s="202">
        <v>0</v>
      </c>
      <c r="K179" s="202">
        <v>0</v>
      </c>
      <c r="L179" s="253"/>
      <c r="AX179" s="254">
        <v>2019</v>
      </c>
      <c r="AY179" s="254">
        <v>1370</v>
      </c>
      <c r="AZ179" s="255" t="s">
        <v>255</v>
      </c>
      <c r="BA179" s="254">
        <v>410</v>
      </c>
      <c r="BB179" s="254">
        <v>309</v>
      </c>
      <c r="BC179" s="255" t="s">
        <v>555</v>
      </c>
      <c r="BD179" s="255" t="s">
        <v>200</v>
      </c>
      <c r="BE179" s="350">
        <v>0</v>
      </c>
      <c r="BF179" s="350">
        <v>0</v>
      </c>
      <c r="BG179" s="350">
        <v>0</v>
      </c>
      <c r="BH179" s="350">
        <v>3819000</v>
      </c>
      <c r="BI179" s="350">
        <v>3819000</v>
      </c>
      <c r="BX179" s="623"/>
      <c r="BY179" t="s">
        <v>1279</v>
      </c>
      <c r="BZ179" t="s">
        <v>1280</v>
      </c>
      <c r="CA179">
        <v>1</v>
      </c>
      <c r="CB179">
        <v>1</v>
      </c>
      <c r="CC179" t="s">
        <v>700</v>
      </c>
      <c r="CD179" s="286">
        <v>10920</v>
      </c>
      <c r="CE179" s="296">
        <v>164800</v>
      </c>
      <c r="CF179" s="261">
        <v>11725960</v>
      </c>
      <c r="CG179" s="261">
        <v>7452845</v>
      </c>
      <c r="CH179" s="202">
        <v>7</v>
      </c>
      <c r="CI179" s="261">
        <f t="shared" si="111"/>
        <v>1047.1475692534934</v>
      </c>
      <c r="CJ179" s="261">
        <f t="shared" si="112"/>
        <v>172569919.41297573</v>
      </c>
      <c r="CL179">
        <v>303640</v>
      </c>
      <c r="CM179" s="299">
        <v>2019</v>
      </c>
      <c r="CN179" s="299">
        <v>1550</v>
      </c>
      <c r="CO179" s="300" t="s">
        <v>258</v>
      </c>
      <c r="CP179" s="299">
        <v>755</v>
      </c>
      <c r="CQ179" s="299">
        <v>20</v>
      </c>
      <c r="CR179" s="294" t="s">
        <v>385</v>
      </c>
      <c r="CS179" s="294" t="s">
        <v>386</v>
      </c>
      <c r="CT179" s="294" t="s">
        <v>392</v>
      </c>
      <c r="CU179" s="301">
        <v>92148000</v>
      </c>
      <c r="DB179">
        <f t="shared" si="114"/>
        <v>28</v>
      </c>
      <c r="DC179" s="595" t="s">
        <v>1133</v>
      </c>
      <c r="DD179" s="595" t="s">
        <v>1134</v>
      </c>
      <c r="DE179" s="595" t="s">
        <v>695</v>
      </c>
      <c r="DF179" s="286">
        <v>2440</v>
      </c>
      <c r="DG179" s="286">
        <v>236640</v>
      </c>
      <c r="DH179" s="286">
        <v>16210740</v>
      </c>
      <c r="DI179" s="286">
        <v>7106043.0000000009</v>
      </c>
      <c r="DJ179">
        <v>20</v>
      </c>
      <c r="DK179" s="643">
        <f t="shared" si="115"/>
        <v>878.59703070032845</v>
      </c>
      <c r="DL179" s="408">
        <f t="shared" si="116"/>
        <v>207911201.34492573</v>
      </c>
      <c r="DM179" s="286"/>
      <c r="DN179" s="286"/>
      <c r="FH179">
        <v>20</v>
      </c>
      <c r="FI179" t="s">
        <v>945</v>
      </c>
      <c r="FJ179" t="s">
        <v>946</v>
      </c>
      <c r="FK179" t="s">
        <v>690</v>
      </c>
      <c r="FL179" s="286">
        <v>1240</v>
      </c>
      <c r="FM179" s="286">
        <v>63400</v>
      </c>
      <c r="FN179" s="286">
        <v>3916600</v>
      </c>
      <c r="FO179" s="286">
        <v>1216313</v>
      </c>
      <c r="FP179">
        <v>6</v>
      </c>
      <c r="FQ179" s="925">
        <v>1380.3735792495058</v>
      </c>
      <c r="FR179" s="926">
        <v>87515684.924418673</v>
      </c>
      <c r="FS179">
        <v>0</v>
      </c>
    </row>
    <row r="180" spans="1:175" ht="16" customHeight="1">
      <c r="A180">
        <v>2016</v>
      </c>
      <c r="B180">
        <v>1370</v>
      </c>
      <c r="C180" t="s">
        <v>255</v>
      </c>
      <c r="D180" t="s">
        <v>245</v>
      </c>
      <c r="E180" s="203">
        <v>97</v>
      </c>
      <c r="F180" s="203" t="s">
        <v>251</v>
      </c>
      <c r="G180" s="203" t="s">
        <v>247</v>
      </c>
      <c r="H180" s="203" t="s">
        <v>248</v>
      </c>
      <c r="I180" s="202">
        <v>0</v>
      </c>
      <c r="J180" s="202">
        <v>0</v>
      </c>
      <c r="K180" s="202">
        <v>0</v>
      </c>
      <c r="L180" s="253"/>
      <c r="AX180" s="254">
        <v>2019</v>
      </c>
      <c r="AY180" s="254">
        <v>1370</v>
      </c>
      <c r="AZ180" s="255" t="s">
        <v>255</v>
      </c>
      <c r="BA180" s="254">
        <v>410</v>
      </c>
      <c r="BB180" s="254">
        <v>310</v>
      </c>
      <c r="BC180" s="255" t="s">
        <v>555</v>
      </c>
      <c r="BD180" s="255" t="s">
        <v>201</v>
      </c>
      <c r="BE180" s="350">
        <v>0</v>
      </c>
      <c r="BF180" s="350">
        <v>0</v>
      </c>
      <c r="BG180" s="350">
        <v>0</v>
      </c>
      <c r="BH180" s="350">
        <v>2566000</v>
      </c>
      <c r="BI180" s="350">
        <v>2566000</v>
      </c>
      <c r="BX180" s="623"/>
      <c r="BY180" t="s">
        <v>1281</v>
      </c>
      <c r="BZ180" t="s">
        <v>1282</v>
      </c>
      <c r="CA180">
        <v>1</v>
      </c>
      <c r="CB180">
        <v>1</v>
      </c>
      <c r="CC180" t="s">
        <v>700</v>
      </c>
      <c r="CD180" s="286">
        <v>360</v>
      </c>
      <c r="CE180" s="296">
        <v>6600</v>
      </c>
      <c r="CF180" s="261">
        <v>164639</v>
      </c>
      <c r="CG180" s="261">
        <v>226976</v>
      </c>
      <c r="CH180" s="202">
        <v>7</v>
      </c>
      <c r="CI180" s="261">
        <f t="shared" si="111"/>
        <v>1047.1475692534934</v>
      </c>
      <c r="CJ180" s="261">
        <f t="shared" si="112"/>
        <v>6911173.9570730571</v>
      </c>
      <c r="CL180">
        <v>20840</v>
      </c>
      <c r="CM180" s="299">
        <v>2019</v>
      </c>
      <c r="CN180" s="299">
        <v>1550</v>
      </c>
      <c r="CO180" s="300" t="s">
        <v>258</v>
      </c>
      <c r="CP180" s="299">
        <v>755</v>
      </c>
      <c r="CQ180" s="299">
        <v>21</v>
      </c>
      <c r="CR180" s="294" t="s">
        <v>385</v>
      </c>
      <c r="CS180" s="294" t="s">
        <v>386</v>
      </c>
      <c r="CT180" s="294" t="s">
        <v>393</v>
      </c>
      <c r="CU180" s="301">
        <v>45985000</v>
      </c>
      <c r="DB180">
        <f t="shared" si="114"/>
        <v>28</v>
      </c>
      <c r="DC180" s="595" t="s">
        <v>1135</v>
      </c>
      <c r="DD180" s="595" t="s">
        <v>1136</v>
      </c>
      <c r="DE180" s="595" t="s">
        <v>695</v>
      </c>
      <c r="DF180" s="286">
        <v>34076</v>
      </c>
      <c r="DG180" s="286">
        <v>2942208</v>
      </c>
      <c r="DH180" s="286">
        <v>117779939.00000001</v>
      </c>
      <c r="DI180" s="286">
        <v>51991273</v>
      </c>
      <c r="DJ180">
        <v>20</v>
      </c>
      <c r="DK180" s="643">
        <f t="shared" si="115"/>
        <v>878.59703070032845</v>
      </c>
      <c r="DL180" s="408">
        <f t="shared" si="116"/>
        <v>2585015212.5027518</v>
      </c>
      <c r="DM180" s="286"/>
      <c r="DN180" s="286"/>
      <c r="FH180">
        <v>20</v>
      </c>
      <c r="FI180" t="s">
        <v>929</v>
      </c>
      <c r="FJ180" t="s">
        <v>930</v>
      </c>
      <c r="FK180" t="s">
        <v>690</v>
      </c>
      <c r="FL180" s="286">
        <v>15720</v>
      </c>
      <c r="FM180" s="286">
        <v>1517280</v>
      </c>
      <c r="FN180" s="286">
        <v>71167149</v>
      </c>
      <c r="FO180" s="286">
        <v>38511539</v>
      </c>
      <c r="FP180">
        <v>7</v>
      </c>
      <c r="FQ180" s="925">
        <v>1047.1475692534934</v>
      </c>
      <c r="FR180" s="926">
        <v>1588816063.8769405</v>
      </c>
      <c r="FS180">
        <v>0</v>
      </c>
    </row>
    <row r="181" spans="1:175" ht="16" customHeight="1">
      <c r="A181">
        <v>2016</v>
      </c>
      <c r="B181">
        <v>1370</v>
      </c>
      <c r="C181" t="s">
        <v>255</v>
      </c>
      <c r="D181" t="s">
        <v>245</v>
      </c>
      <c r="E181" s="203">
        <v>98</v>
      </c>
      <c r="F181" s="203" t="s">
        <v>251</v>
      </c>
      <c r="G181" s="203" t="s">
        <v>247</v>
      </c>
      <c r="H181" s="204" t="s">
        <v>249</v>
      </c>
      <c r="I181" s="202">
        <v>0</v>
      </c>
      <c r="J181" s="202">
        <v>0</v>
      </c>
      <c r="K181" s="202">
        <v>0</v>
      </c>
      <c r="L181" s="253"/>
      <c r="AX181" s="254">
        <v>2019</v>
      </c>
      <c r="AY181" s="254">
        <v>1370</v>
      </c>
      <c r="AZ181" s="255" t="s">
        <v>255</v>
      </c>
      <c r="BA181" s="254">
        <v>410</v>
      </c>
      <c r="BB181" s="254">
        <v>311</v>
      </c>
      <c r="BC181" s="255" t="s">
        <v>555</v>
      </c>
      <c r="BD181" s="255" t="s">
        <v>137</v>
      </c>
      <c r="BE181" s="350">
        <v>0</v>
      </c>
      <c r="BF181" s="350">
        <v>0</v>
      </c>
      <c r="BG181" s="350">
        <v>4960000</v>
      </c>
      <c r="BH181" s="350">
        <v>0</v>
      </c>
      <c r="BI181" s="350">
        <v>4960000</v>
      </c>
      <c r="BX181" s="623"/>
      <c r="BY181" t="s">
        <v>1283</v>
      </c>
      <c r="BZ181" t="s">
        <v>1284</v>
      </c>
      <c r="CA181">
        <v>1</v>
      </c>
      <c r="CB181">
        <v>1</v>
      </c>
      <c r="CC181" t="s">
        <v>700</v>
      </c>
      <c r="CD181" s="286">
        <v>920</v>
      </c>
      <c r="CE181" s="296">
        <v>15520</v>
      </c>
      <c r="CF181" s="261">
        <v>1363584</v>
      </c>
      <c r="CG181" s="261">
        <v>932460</v>
      </c>
      <c r="CH181" s="202">
        <v>7</v>
      </c>
      <c r="CI181" s="261">
        <f t="shared" si="111"/>
        <v>1047.1475692534934</v>
      </c>
      <c r="CJ181" s="261">
        <f t="shared" si="112"/>
        <v>16251730.274814218</v>
      </c>
      <c r="CL181">
        <v>117000</v>
      </c>
      <c r="CM181" s="299">
        <v>2019</v>
      </c>
      <c r="CN181" s="299">
        <v>1550</v>
      </c>
      <c r="CO181" s="300" t="s">
        <v>258</v>
      </c>
      <c r="CP181" s="299">
        <v>755</v>
      </c>
      <c r="CQ181" s="299">
        <v>22</v>
      </c>
      <c r="CR181" s="294" t="s">
        <v>385</v>
      </c>
      <c r="CS181" s="294" t="s">
        <v>386</v>
      </c>
      <c r="CT181" s="294" t="s">
        <v>394</v>
      </c>
      <c r="CU181" s="301">
        <v>10937000</v>
      </c>
      <c r="DB181">
        <f t="shared" si="114"/>
        <v>28</v>
      </c>
      <c r="DC181" s="595" t="s">
        <v>1137</v>
      </c>
      <c r="DD181" s="595" t="s">
        <v>1138</v>
      </c>
      <c r="DE181" s="595" t="s">
        <v>695</v>
      </c>
      <c r="DF181" s="286">
        <v>17680</v>
      </c>
      <c r="DG181" s="286">
        <v>1562208</v>
      </c>
      <c r="DH181" s="286">
        <v>80752101</v>
      </c>
      <c r="DI181" s="286">
        <v>38743830</v>
      </c>
      <c r="DJ181">
        <v>20</v>
      </c>
      <c r="DK181" s="643">
        <f t="shared" si="115"/>
        <v>878.59703070032845</v>
      </c>
      <c r="DL181" s="408">
        <f t="shared" si="116"/>
        <v>1372551310.1362987</v>
      </c>
      <c r="DM181" s="286"/>
      <c r="DN181" s="286"/>
      <c r="FH181">
        <v>20</v>
      </c>
      <c r="FI181" t="s">
        <v>931</v>
      </c>
      <c r="FJ181" t="s">
        <v>932</v>
      </c>
      <c r="FK181" t="s">
        <v>690</v>
      </c>
      <c r="FL181" s="286">
        <v>1480</v>
      </c>
      <c r="FM181" s="286">
        <v>140520</v>
      </c>
      <c r="FN181" s="286">
        <v>5211600</v>
      </c>
      <c r="FO181" s="286">
        <v>2223927</v>
      </c>
      <c r="FP181">
        <v>7</v>
      </c>
      <c r="FQ181" s="925">
        <v>1047.1475692534934</v>
      </c>
      <c r="FR181" s="926">
        <v>147145176.43150088</v>
      </c>
      <c r="FS181">
        <v>0</v>
      </c>
    </row>
    <row r="182" spans="1:175" ht="16" customHeight="1">
      <c r="A182">
        <v>2016</v>
      </c>
      <c r="B182">
        <v>2670</v>
      </c>
      <c r="C182" t="s">
        <v>257</v>
      </c>
      <c r="D182" t="s">
        <v>245</v>
      </c>
      <c r="E182" s="203">
        <v>91</v>
      </c>
      <c r="F182" s="203" t="s">
        <v>246</v>
      </c>
      <c r="G182" s="203" t="s">
        <v>247</v>
      </c>
      <c r="H182" s="203" t="s">
        <v>248</v>
      </c>
      <c r="I182" s="202">
        <v>90</v>
      </c>
      <c r="J182" s="202">
        <v>18728</v>
      </c>
      <c r="K182" s="202">
        <v>257526000</v>
      </c>
      <c r="L182" s="253"/>
      <c r="AX182" s="254">
        <v>2019</v>
      </c>
      <c r="AY182" s="254">
        <v>1370</v>
      </c>
      <c r="AZ182" s="255" t="s">
        <v>255</v>
      </c>
      <c r="BA182" s="254">
        <v>410</v>
      </c>
      <c r="BB182" s="254">
        <v>312</v>
      </c>
      <c r="BC182" s="255" t="s">
        <v>555</v>
      </c>
      <c r="BD182" s="255" t="s">
        <v>138</v>
      </c>
      <c r="BE182" s="350">
        <v>0</v>
      </c>
      <c r="BF182" s="350">
        <v>0</v>
      </c>
      <c r="BG182" s="350">
        <v>0</v>
      </c>
      <c r="BH182" s="350">
        <v>0</v>
      </c>
      <c r="BI182" s="350">
        <v>0</v>
      </c>
      <c r="BX182" s="623"/>
      <c r="BY182" t="s">
        <v>1285</v>
      </c>
      <c r="BZ182" t="s">
        <v>1286</v>
      </c>
      <c r="CA182">
        <v>1</v>
      </c>
      <c r="CB182">
        <v>1</v>
      </c>
      <c r="CC182" t="s">
        <v>700</v>
      </c>
      <c r="CD182" s="286">
        <v>2320</v>
      </c>
      <c r="CE182" s="296">
        <v>37880</v>
      </c>
      <c r="CF182" s="261">
        <v>2978121</v>
      </c>
      <c r="CG182" s="261">
        <v>1545898</v>
      </c>
      <c r="CH182" s="202">
        <v>7</v>
      </c>
      <c r="CI182" s="261">
        <f t="shared" si="111"/>
        <v>1047.1475692534934</v>
      </c>
      <c r="CJ182" s="261">
        <f t="shared" si="112"/>
        <v>39665949.923322327</v>
      </c>
      <c r="CL182">
        <v>10120</v>
      </c>
      <c r="CM182" s="299">
        <v>2019</v>
      </c>
      <c r="CN182" s="299">
        <v>1550</v>
      </c>
      <c r="CO182" s="300" t="s">
        <v>258</v>
      </c>
      <c r="CP182" s="299">
        <v>755</v>
      </c>
      <c r="CQ182" s="299">
        <v>23</v>
      </c>
      <c r="CR182" s="294" t="s">
        <v>385</v>
      </c>
      <c r="CS182" s="294" t="s">
        <v>386</v>
      </c>
      <c r="CT182" s="294" t="s">
        <v>395</v>
      </c>
      <c r="CU182" s="301">
        <v>3116000</v>
      </c>
      <c r="DB182">
        <f t="shared" si="114"/>
        <v>28</v>
      </c>
      <c r="DC182" s="595" t="s">
        <v>1139</v>
      </c>
      <c r="DD182" s="595" t="s">
        <v>1140</v>
      </c>
      <c r="DE182" s="595" t="s">
        <v>695</v>
      </c>
      <c r="DF182" s="286">
        <v>54008</v>
      </c>
      <c r="DG182" s="286">
        <v>4890684</v>
      </c>
      <c r="DH182" s="286">
        <v>248507689</v>
      </c>
      <c r="DI182" s="286">
        <v>101388085</v>
      </c>
      <c r="DJ182">
        <v>20</v>
      </c>
      <c r="DK182" s="643">
        <f t="shared" si="115"/>
        <v>878.59703070032845</v>
      </c>
      <c r="DL182" s="408">
        <f t="shared" si="116"/>
        <v>4296940440.4936047</v>
      </c>
      <c r="DM182" s="286"/>
      <c r="DN182" s="286"/>
      <c r="FH182">
        <v>20</v>
      </c>
      <c r="FI182" t="s">
        <v>933</v>
      </c>
      <c r="FJ182" t="s">
        <v>934</v>
      </c>
      <c r="FK182" t="s">
        <v>690</v>
      </c>
      <c r="FL182" s="286">
        <v>1400</v>
      </c>
      <c r="FM182" s="286">
        <v>115160</v>
      </c>
      <c r="FN182" s="286">
        <v>11093836</v>
      </c>
      <c r="FO182" s="286">
        <v>4565793</v>
      </c>
      <c r="FP182">
        <v>7</v>
      </c>
      <c r="FQ182" s="925">
        <v>1047.1475692534934</v>
      </c>
      <c r="FR182" s="926">
        <v>120589514.0752323</v>
      </c>
      <c r="FS182">
        <v>0</v>
      </c>
    </row>
    <row r="183" spans="1:175" ht="16" customHeight="1">
      <c r="A183">
        <v>2016</v>
      </c>
      <c r="B183">
        <v>2670</v>
      </c>
      <c r="C183" t="s">
        <v>257</v>
      </c>
      <c r="D183" t="s">
        <v>245</v>
      </c>
      <c r="E183" s="203">
        <v>92</v>
      </c>
      <c r="F183" s="203" t="s">
        <v>246</v>
      </c>
      <c r="G183" s="203" t="s">
        <v>247</v>
      </c>
      <c r="H183" s="204" t="s">
        <v>249</v>
      </c>
      <c r="I183" s="202">
        <v>0</v>
      </c>
      <c r="J183" s="202">
        <v>0</v>
      </c>
      <c r="K183" s="202">
        <v>0</v>
      </c>
      <c r="L183" s="253"/>
      <c r="AX183" s="254">
        <v>2019</v>
      </c>
      <c r="AY183" s="254">
        <v>1370</v>
      </c>
      <c r="AZ183" s="255" t="s">
        <v>255</v>
      </c>
      <c r="BA183" s="254">
        <v>410</v>
      </c>
      <c r="BB183" s="254">
        <v>313</v>
      </c>
      <c r="BC183" s="255" t="s">
        <v>555</v>
      </c>
      <c r="BD183" s="255" t="s">
        <v>139</v>
      </c>
      <c r="BE183" s="350">
        <v>0</v>
      </c>
      <c r="BF183" s="350">
        <v>0</v>
      </c>
      <c r="BG183" s="350">
        <v>0</v>
      </c>
      <c r="BH183" s="350">
        <v>0</v>
      </c>
      <c r="BI183" s="350">
        <v>0</v>
      </c>
      <c r="BX183" s="623"/>
      <c r="BY183" t="s">
        <v>828</v>
      </c>
      <c r="BZ183" t="s">
        <v>829</v>
      </c>
      <c r="CA183">
        <v>1</v>
      </c>
      <c r="CB183">
        <v>1</v>
      </c>
      <c r="CC183" t="s">
        <v>700</v>
      </c>
      <c r="CD183" s="286">
        <v>11840</v>
      </c>
      <c r="CE183" s="296">
        <v>239960</v>
      </c>
      <c r="CF183" s="261">
        <v>14150632</v>
      </c>
      <c r="CG183" s="261">
        <v>9495162</v>
      </c>
      <c r="CH183" s="202">
        <v>8</v>
      </c>
      <c r="CI183" s="261">
        <f t="shared" si="111"/>
        <v>1895.097258824158</v>
      </c>
      <c r="CJ183" s="261">
        <f t="shared" si="112"/>
        <v>454747538.22744495</v>
      </c>
      <c r="CL183">
        <v>642640</v>
      </c>
      <c r="CM183" s="299">
        <v>2019</v>
      </c>
      <c r="CN183" s="299">
        <v>1550</v>
      </c>
      <c r="CO183" s="300" t="s">
        <v>258</v>
      </c>
      <c r="CP183" s="299">
        <v>755</v>
      </c>
      <c r="CQ183" s="299">
        <v>24</v>
      </c>
      <c r="CR183" s="294" t="s">
        <v>385</v>
      </c>
      <c r="CS183" s="294" t="s">
        <v>386</v>
      </c>
      <c r="CT183" s="294" t="s">
        <v>396</v>
      </c>
      <c r="CU183" s="301">
        <v>3339000</v>
      </c>
      <c r="DB183">
        <f t="shared" si="114"/>
        <v>28</v>
      </c>
      <c r="DC183" s="595" t="s">
        <v>1141</v>
      </c>
      <c r="DD183" s="595" t="s">
        <v>1140</v>
      </c>
      <c r="DE183" s="595" t="s">
        <v>695</v>
      </c>
      <c r="DF183" s="286">
        <v>1240</v>
      </c>
      <c r="DG183" s="286">
        <v>111360</v>
      </c>
      <c r="DH183" s="286">
        <v>4178240</v>
      </c>
      <c r="DI183" s="286">
        <v>1489857</v>
      </c>
      <c r="DJ183">
        <v>20</v>
      </c>
      <c r="DK183" s="643">
        <f t="shared" si="115"/>
        <v>878.59703070032845</v>
      </c>
      <c r="DL183" s="408">
        <f t="shared" si="116"/>
        <v>97840565.338788569</v>
      </c>
      <c r="DM183" s="286"/>
      <c r="DN183" s="286"/>
      <c r="FH183">
        <v>20</v>
      </c>
      <c r="FI183" t="s">
        <v>947</v>
      </c>
      <c r="FJ183" t="s">
        <v>948</v>
      </c>
      <c r="FK183" t="s">
        <v>690</v>
      </c>
      <c r="FL183" s="286">
        <v>27072</v>
      </c>
      <c r="FM183" s="286">
        <v>2498587.9999999995</v>
      </c>
      <c r="FN183" s="286">
        <v>94974178</v>
      </c>
      <c r="FO183" s="286">
        <v>52437301.999999993</v>
      </c>
      <c r="FP183">
        <v>7</v>
      </c>
      <c r="FQ183" s="925">
        <v>1047.1475692534934</v>
      </c>
      <c r="FR183" s="926">
        <v>2616390350.7659473</v>
      </c>
      <c r="FS183">
        <v>0</v>
      </c>
    </row>
    <row r="184" spans="1:175" ht="16" customHeight="1">
      <c r="A184">
        <v>2016</v>
      </c>
      <c r="B184">
        <v>2670</v>
      </c>
      <c r="C184" t="s">
        <v>257</v>
      </c>
      <c r="D184" t="s">
        <v>245</v>
      </c>
      <c r="E184" s="203">
        <v>93</v>
      </c>
      <c r="F184" s="203" t="s">
        <v>250</v>
      </c>
      <c r="G184" s="203" t="s">
        <v>247</v>
      </c>
      <c r="H184" s="203" t="s">
        <v>248</v>
      </c>
      <c r="I184" s="202">
        <v>0</v>
      </c>
      <c r="J184" s="202">
        <v>0</v>
      </c>
      <c r="K184" s="202">
        <v>0</v>
      </c>
      <c r="L184" s="253"/>
      <c r="AX184" s="254">
        <v>2019</v>
      </c>
      <c r="AY184" s="254">
        <v>1370</v>
      </c>
      <c r="AZ184" s="255" t="s">
        <v>255</v>
      </c>
      <c r="BA184" s="254">
        <v>410</v>
      </c>
      <c r="BB184" s="254">
        <v>314</v>
      </c>
      <c r="BC184" s="255" t="s">
        <v>555</v>
      </c>
      <c r="BD184" s="255" t="s">
        <v>140</v>
      </c>
      <c r="BE184" s="350">
        <v>0</v>
      </c>
      <c r="BF184" s="350">
        <v>0</v>
      </c>
      <c r="BG184" s="350">
        <v>0</v>
      </c>
      <c r="BH184" s="350">
        <v>0</v>
      </c>
      <c r="BI184" s="350">
        <v>0</v>
      </c>
      <c r="BX184" s="623"/>
      <c r="BY184" t="s">
        <v>957</v>
      </c>
      <c r="BZ184" t="s">
        <v>958</v>
      </c>
      <c r="CA184">
        <v>1</v>
      </c>
      <c r="CB184">
        <v>1</v>
      </c>
      <c r="CC184" t="s">
        <v>700</v>
      </c>
      <c r="CD184" s="286">
        <v>880</v>
      </c>
      <c r="CE184" s="296">
        <v>20880</v>
      </c>
      <c r="CF184" s="261">
        <v>971773</v>
      </c>
      <c r="CG184" s="261">
        <v>857650</v>
      </c>
      <c r="CH184" s="202">
        <v>8</v>
      </c>
      <c r="CI184" s="261">
        <f t="shared" si="111"/>
        <v>1895.097258824158</v>
      </c>
      <c r="CJ184" s="261">
        <f t="shared" si="112"/>
        <v>39569630.764248416</v>
      </c>
      <c r="CL184">
        <v>83960</v>
      </c>
      <c r="CM184" s="299">
        <v>2019</v>
      </c>
      <c r="CN184" s="299">
        <v>1550</v>
      </c>
      <c r="CO184" s="300" t="s">
        <v>258</v>
      </c>
      <c r="CP184" s="299">
        <v>755</v>
      </c>
      <c r="CQ184" s="299">
        <v>25</v>
      </c>
      <c r="CR184" s="294" t="s">
        <v>385</v>
      </c>
      <c r="CS184" s="294" t="s">
        <v>386</v>
      </c>
      <c r="CT184" s="294" t="s">
        <v>397</v>
      </c>
      <c r="CU184" s="301">
        <v>169108000</v>
      </c>
      <c r="DB184">
        <f t="shared" si="114"/>
        <v>28</v>
      </c>
      <c r="DC184" s="595" t="s">
        <v>1142</v>
      </c>
      <c r="DD184" s="595" t="s">
        <v>1143</v>
      </c>
      <c r="DE184" s="595" t="s">
        <v>695</v>
      </c>
      <c r="DF184" s="286">
        <v>4760</v>
      </c>
      <c r="DG184" s="286">
        <v>440440</v>
      </c>
      <c r="DH184" s="286">
        <v>28735340</v>
      </c>
      <c r="DI184" s="286">
        <v>9672603</v>
      </c>
      <c r="DJ184" s="202">
        <v>20</v>
      </c>
      <c r="DK184" s="643">
        <f t="shared" si="115"/>
        <v>878.59703070032845</v>
      </c>
      <c r="DL184" s="408">
        <f t="shared" si="116"/>
        <v>386969276.20165265</v>
      </c>
      <c r="DM184" s="286"/>
      <c r="DN184" s="286"/>
      <c r="FH184">
        <v>20</v>
      </c>
      <c r="FI184" t="s">
        <v>949</v>
      </c>
      <c r="FJ184" t="s">
        <v>950</v>
      </c>
      <c r="FK184" t="s">
        <v>690</v>
      </c>
      <c r="FL184" s="286">
        <v>960</v>
      </c>
      <c r="FM184" s="286">
        <v>85440</v>
      </c>
      <c r="FN184" s="286">
        <v>3096800</v>
      </c>
      <c r="FO184" s="286">
        <v>1288675</v>
      </c>
      <c r="FP184">
        <v>7</v>
      </c>
      <c r="FQ184" s="925">
        <v>1047.1475692534934</v>
      </c>
      <c r="FR184" s="926">
        <v>89468288.317018479</v>
      </c>
      <c r="FS184">
        <v>0</v>
      </c>
    </row>
    <row r="185" spans="1:175" ht="16" customHeight="1">
      <c r="A185">
        <v>2016</v>
      </c>
      <c r="B185">
        <v>2670</v>
      </c>
      <c r="C185" t="s">
        <v>257</v>
      </c>
      <c r="D185" t="s">
        <v>245</v>
      </c>
      <c r="E185" s="203">
        <v>94</v>
      </c>
      <c r="F185" s="203" t="s">
        <v>250</v>
      </c>
      <c r="G185" s="203" t="s">
        <v>247</v>
      </c>
      <c r="H185" s="204" t="s">
        <v>249</v>
      </c>
      <c r="I185" s="202">
        <v>0</v>
      </c>
      <c r="J185" s="202">
        <v>0</v>
      </c>
      <c r="K185" s="202">
        <v>0</v>
      </c>
      <c r="L185" s="253"/>
      <c r="AX185" s="254">
        <v>2019</v>
      </c>
      <c r="AY185" s="254">
        <v>1370</v>
      </c>
      <c r="AZ185" s="255" t="s">
        <v>255</v>
      </c>
      <c r="BA185" s="254">
        <v>410</v>
      </c>
      <c r="BB185" s="254">
        <v>315</v>
      </c>
      <c r="BC185" s="255" t="s">
        <v>555</v>
      </c>
      <c r="BD185" s="255" t="s">
        <v>141</v>
      </c>
      <c r="BE185" s="350">
        <v>0</v>
      </c>
      <c r="BF185" s="350">
        <v>0</v>
      </c>
      <c r="BG185" s="350">
        <v>6356000</v>
      </c>
      <c r="BH185" s="350">
        <v>0</v>
      </c>
      <c r="BI185" s="350">
        <v>6356000</v>
      </c>
      <c r="BX185" s="623"/>
      <c r="BY185" t="s">
        <v>830</v>
      </c>
      <c r="BZ185" t="s">
        <v>831</v>
      </c>
      <c r="CA185">
        <v>1</v>
      </c>
      <c r="CB185">
        <v>1</v>
      </c>
      <c r="CC185" t="s">
        <v>700</v>
      </c>
      <c r="CD185" s="286">
        <v>53400</v>
      </c>
      <c r="CE185" s="296">
        <v>918320</v>
      </c>
      <c r="CF185" s="261">
        <v>87790279</v>
      </c>
      <c r="CG185" s="261">
        <v>57333757</v>
      </c>
      <c r="CH185" s="202">
        <v>8</v>
      </c>
      <c r="CI185" s="261">
        <f t="shared" si="111"/>
        <v>1895.097258824158</v>
      </c>
      <c r="CJ185" s="261">
        <f t="shared" si="112"/>
        <v>1740305714.7234008</v>
      </c>
      <c r="CL185">
        <v>59360</v>
      </c>
      <c r="CM185" s="299">
        <v>2019</v>
      </c>
      <c r="CN185" s="299">
        <v>1550</v>
      </c>
      <c r="CO185" s="300" t="s">
        <v>258</v>
      </c>
      <c r="CP185" s="299">
        <v>755</v>
      </c>
      <c r="CQ185" s="299">
        <v>26</v>
      </c>
      <c r="CR185" s="294" t="s">
        <v>385</v>
      </c>
      <c r="CS185" s="294" t="s">
        <v>386</v>
      </c>
      <c r="CT185" s="294" t="s">
        <v>398</v>
      </c>
      <c r="CU185" s="301">
        <v>30268000</v>
      </c>
      <c r="DB185">
        <f t="shared" si="114"/>
        <v>28</v>
      </c>
      <c r="DC185" s="595" t="s">
        <v>975</v>
      </c>
      <c r="DD185" s="595" t="s">
        <v>976</v>
      </c>
      <c r="DE185" s="595" t="s">
        <v>690</v>
      </c>
      <c r="DF185" s="286">
        <v>2760</v>
      </c>
      <c r="DG185" s="286">
        <v>256600.00000000003</v>
      </c>
      <c r="DH185" s="286">
        <v>12954920</v>
      </c>
      <c r="DI185" s="286">
        <v>4204611</v>
      </c>
      <c r="DJ185">
        <v>20</v>
      </c>
      <c r="DK185" s="643">
        <f t="shared" si="115"/>
        <v>878.59703070032845</v>
      </c>
      <c r="DL185" s="408">
        <f t="shared" si="116"/>
        <v>225447998.07770431</v>
      </c>
      <c r="DM185" s="286"/>
      <c r="DN185" s="286"/>
      <c r="FH185">
        <v>20</v>
      </c>
      <c r="FI185" t="s">
        <v>951</v>
      </c>
      <c r="FJ185" t="s">
        <v>952</v>
      </c>
      <c r="FK185" t="s">
        <v>690</v>
      </c>
      <c r="FL185" s="286">
        <v>17996</v>
      </c>
      <c r="FM185" s="286">
        <v>1675016</v>
      </c>
      <c r="FN185" s="286">
        <v>43681445</v>
      </c>
      <c r="FO185" s="286">
        <v>26320461</v>
      </c>
      <c r="FP185">
        <v>7</v>
      </c>
      <c r="FQ185" s="925">
        <v>1047.1475692534934</v>
      </c>
      <c r="FR185" s="926">
        <v>1753988932.8607097</v>
      </c>
      <c r="FS185">
        <v>0</v>
      </c>
    </row>
    <row r="186" spans="1:175" ht="16" customHeight="1">
      <c r="A186">
        <v>2016</v>
      </c>
      <c r="B186">
        <v>2670</v>
      </c>
      <c r="C186" t="s">
        <v>257</v>
      </c>
      <c r="D186" t="s">
        <v>245</v>
      </c>
      <c r="E186" s="203">
        <v>97</v>
      </c>
      <c r="F186" s="203" t="s">
        <v>251</v>
      </c>
      <c r="G186" s="203" t="s">
        <v>247</v>
      </c>
      <c r="H186" s="203" t="s">
        <v>248</v>
      </c>
      <c r="I186" s="202">
        <v>0</v>
      </c>
      <c r="J186" s="202">
        <v>0</v>
      </c>
      <c r="K186" s="202">
        <v>0</v>
      </c>
      <c r="L186" s="253"/>
      <c r="AX186" s="254">
        <v>2019</v>
      </c>
      <c r="AY186" s="254">
        <v>1370</v>
      </c>
      <c r="AZ186" s="255" t="s">
        <v>255</v>
      </c>
      <c r="BA186" s="254">
        <v>410</v>
      </c>
      <c r="BB186" s="254">
        <v>316</v>
      </c>
      <c r="BC186" s="255" t="s">
        <v>555</v>
      </c>
      <c r="BD186" s="255" t="s">
        <v>142</v>
      </c>
      <c r="BE186" s="350">
        <v>0</v>
      </c>
      <c r="BF186" s="350">
        <v>0</v>
      </c>
      <c r="BG186" s="350">
        <v>0</v>
      </c>
      <c r="BH186" s="350">
        <v>0</v>
      </c>
      <c r="BI186" s="350">
        <v>0</v>
      </c>
      <c r="BX186" s="623"/>
      <c r="BY186" t="s">
        <v>1111</v>
      </c>
      <c r="BZ186" t="s">
        <v>1112</v>
      </c>
      <c r="CA186">
        <v>1</v>
      </c>
      <c r="CB186">
        <v>1</v>
      </c>
      <c r="CC186" t="s">
        <v>700</v>
      </c>
      <c r="CD186" s="286">
        <v>45080</v>
      </c>
      <c r="CE186" s="296">
        <v>778600</v>
      </c>
      <c r="CF186" s="261">
        <v>50288611</v>
      </c>
      <c r="CG186" s="261">
        <v>37427431</v>
      </c>
      <c r="CH186" s="202">
        <v>8</v>
      </c>
      <c r="CI186" s="261">
        <f t="shared" si="111"/>
        <v>1895.097258824158</v>
      </c>
      <c r="CJ186" s="261">
        <f t="shared" si="112"/>
        <v>1475522725.7204895</v>
      </c>
      <c r="CL186">
        <v>26560</v>
      </c>
      <c r="CM186" s="299">
        <v>2019</v>
      </c>
      <c r="CN186" s="299">
        <v>1550</v>
      </c>
      <c r="CO186" s="300" t="s">
        <v>258</v>
      </c>
      <c r="CP186" s="299">
        <v>755</v>
      </c>
      <c r="CQ186" s="299">
        <v>27</v>
      </c>
      <c r="CR186" s="294" t="s">
        <v>385</v>
      </c>
      <c r="CS186" s="294" t="s">
        <v>386</v>
      </c>
      <c r="CT186" s="294" t="s">
        <v>399</v>
      </c>
      <c r="CU186" s="301">
        <v>133000</v>
      </c>
      <c r="DB186">
        <f t="shared" si="114"/>
        <v>28</v>
      </c>
      <c r="DC186" s="595" t="s">
        <v>975</v>
      </c>
      <c r="DD186" s="595" t="s">
        <v>976</v>
      </c>
      <c r="DE186" s="595" t="s">
        <v>695</v>
      </c>
      <c r="DF186" s="286">
        <v>2800</v>
      </c>
      <c r="DG186" s="286">
        <v>255480.00000000003</v>
      </c>
      <c r="DH186" s="286">
        <v>12280653</v>
      </c>
      <c r="DI186" s="286">
        <v>5893045</v>
      </c>
      <c r="DJ186">
        <v>20</v>
      </c>
      <c r="DK186" s="643">
        <f t="shared" si="115"/>
        <v>878.59703070032845</v>
      </c>
      <c r="DL186" s="408">
        <f t="shared" si="116"/>
        <v>224463969.40331993</v>
      </c>
      <c r="DM186" s="286"/>
      <c r="DN186" s="286"/>
      <c r="FH186">
        <v>20</v>
      </c>
      <c r="FI186" t="s">
        <v>955</v>
      </c>
      <c r="FJ186" t="s">
        <v>956</v>
      </c>
      <c r="FK186" t="s">
        <v>690</v>
      </c>
      <c r="FL186" s="286">
        <v>4556</v>
      </c>
      <c r="FM186" s="286">
        <v>464404</v>
      </c>
      <c r="FN186" s="286">
        <v>20501054</v>
      </c>
      <c r="FO186" s="286">
        <v>16502318</v>
      </c>
      <c r="FP186">
        <v>7</v>
      </c>
      <c r="FQ186" s="925">
        <v>1047.1475692534934</v>
      </c>
      <c r="FR186" s="926">
        <v>486299519.75159937</v>
      </c>
      <c r="FS186">
        <v>0</v>
      </c>
    </row>
    <row r="187" spans="1:175" ht="16" customHeight="1">
      <c r="A187">
        <v>2016</v>
      </c>
      <c r="B187">
        <v>2670</v>
      </c>
      <c r="C187" t="s">
        <v>257</v>
      </c>
      <c r="D187" t="s">
        <v>245</v>
      </c>
      <c r="E187" s="203">
        <v>98</v>
      </c>
      <c r="F187" s="203" t="s">
        <v>251</v>
      </c>
      <c r="G187" s="203" t="s">
        <v>247</v>
      </c>
      <c r="H187" s="204" t="s">
        <v>249</v>
      </c>
      <c r="I187" s="202">
        <v>0</v>
      </c>
      <c r="J187" s="202">
        <v>0</v>
      </c>
      <c r="K187" s="202">
        <v>0</v>
      </c>
      <c r="L187" s="253"/>
      <c r="AX187" s="254">
        <v>2019</v>
      </c>
      <c r="AY187" s="254">
        <v>1370</v>
      </c>
      <c r="AZ187" s="255" t="s">
        <v>255</v>
      </c>
      <c r="BA187" s="254">
        <v>410</v>
      </c>
      <c r="BB187" s="254">
        <v>317</v>
      </c>
      <c r="BC187" s="255" t="s">
        <v>555</v>
      </c>
      <c r="BD187" s="255" t="s">
        <v>145</v>
      </c>
      <c r="BE187" s="350">
        <v>0</v>
      </c>
      <c r="BF187" s="350">
        <v>0</v>
      </c>
      <c r="BG187" s="350">
        <v>0</v>
      </c>
      <c r="BH187" s="350">
        <v>60987000</v>
      </c>
      <c r="BI187" s="350">
        <v>60987000</v>
      </c>
      <c r="BX187" s="623"/>
      <c r="BY187" t="s">
        <v>1287</v>
      </c>
      <c r="BZ187" t="s">
        <v>1288</v>
      </c>
      <c r="CA187">
        <v>1</v>
      </c>
      <c r="CB187">
        <v>1</v>
      </c>
      <c r="CC187" t="s">
        <v>700</v>
      </c>
      <c r="CD187" s="286">
        <v>14440</v>
      </c>
      <c r="CE187" s="296">
        <v>204600</v>
      </c>
      <c r="CF187" s="261">
        <v>16832099</v>
      </c>
      <c r="CG187" s="261">
        <v>11353624</v>
      </c>
      <c r="CH187" s="202">
        <v>7</v>
      </c>
      <c r="CI187" s="261">
        <f t="shared" si="111"/>
        <v>1047.1475692534934</v>
      </c>
      <c r="CJ187" s="261">
        <f t="shared" si="112"/>
        <v>214246392.66926476</v>
      </c>
      <c r="CL187">
        <v>164800</v>
      </c>
      <c r="CM187" s="299">
        <v>2019</v>
      </c>
      <c r="CN187" s="299">
        <v>1550</v>
      </c>
      <c r="CO187" s="300" t="s">
        <v>258</v>
      </c>
      <c r="CP187" s="299">
        <v>755</v>
      </c>
      <c r="CQ187" s="299">
        <v>28</v>
      </c>
      <c r="CR187" s="294" t="s">
        <v>385</v>
      </c>
      <c r="CS187" s="294" t="s">
        <v>386</v>
      </c>
      <c r="CT187" s="294" t="s">
        <v>400</v>
      </c>
      <c r="CU187" s="301">
        <v>26529000</v>
      </c>
      <c r="DB187">
        <f t="shared" si="114"/>
        <v>28</v>
      </c>
      <c r="DC187" s="595" t="s">
        <v>977</v>
      </c>
      <c r="DD187" s="595" t="s">
        <v>978</v>
      </c>
      <c r="DE187" s="595" t="s">
        <v>690</v>
      </c>
      <c r="DF187" s="286">
        <v>45761</v>
      </c>
      <c r="DG187" s="286">
        <v>4487696</v>
      </c>
      <c r="DH187" s="286">
        <v>162302925</v>
      </c>
      <c r="DI187" s="286">
        <v>94312298.000000015</v>
      </c>
      <c r="DJ187">
        <v>20</v>
      </c>
      <c r="DK187" s="643">
        <f t="shared" si="115"/>
        <v>878.59703070032845</v>
      </c>
      <c r="DL187" s="408">
        <f t="shared" si="116"/>
        <v>3942876380.2857413</v>
      </c>
      <c r="DM187" s="286"/>
      <c r="DN187" s="286"/>
      <c r="FH187">
        <v>20</v>
      </c>
      <c r="FI187" t="s">
        <v>826</v>
      </c>
      <c r="FJ187" t="s">
        <v>827</v>
      </c>
      <c r="FK187" t="s">
        <v>690</v>
      </c>
      <c r="FL187" s="286">
        <v>51320</v>
      </c>
      <c r="FM187" s="286">
        <v>5459284</v>
      </c>
      <c r="FN187" s="286">
        <v>256761947</v>
      </c>
      <c r="FO187" s="286">
        <v>128836459</v>
      </c>
      <c r="FP187">
        <v>7</v>
      </c>
      <c r="FQ187" s="925">
        <v>1047.1475692534934</v>
      </c>
      <c r="FR187" s="926">
        <v>5716675970.464489</v>
      </c>
      <c r="FS187">
        <v>0</v>
      </c>
    </row>
    <row r="188" spans="1:175" ht="16" customHeight="1">
      <c r="A188">
        <v>2016</v>
      </c>
      <c r="B188">
        <v>1550</v>
      </c>
      <c r="C188" t="s">
        <v>258</v>
      </c>
      <c r="D188" t="s">
        <v>245</v>
      </c>
      <c r="E188" s="203">
        <v>91</v>
      </c>
      <c r="F188" s="203" t="s">
        <v>246</v>
      </c>
      <c r="G188" s="203" t="s">
        <v>247</v>
      </c>
      <c r="H188" s="203" t="s">
        <v>248</v>
      </c>
      <c r="I188" s="202">
        <v>66</v>
      </c>
      <c r="J188" s="202">
        <v>13120</v>
      </c>
      <c r="K188" s="202">
        <v>145611000</v>
      </c>
      <c r="L188" s="253"/>
      <c r="AX188" s="254">
        <v>2019</v>
      </c>
      <c r="AY188" s="254">
        <v>1370</v>
      </c>
      <c r="AZ188" s="255" t="s">
        <v>255</v>
      </c>
      <c r="BA188" s="254">
        <v>410</v>
      </c>
      <c r="BB188" s="254">
        <v>318</v>
      </c>
      <c r="BC188" s="255" t="s">
        <v>555</v>
      </c>
      <c r="BD188" s="255" t="s">
        <v>152</v>
      </c>
      <c r="BE188" s="350">
        <v>0</v>
      </c>
      <c r="BF188" s="350">
        <v>0</v>
      </c>
      <c r="BG188" s="350">
        <v>0</v>
      </c>
      <c r="BH188" s="350">
        <v>0</v>
      </c>
      <c r="BI188" s="350">
        <v>0</v>
      </c>
      <c r="BX188" s="623"/>
      <c r="BY188" t="s">
        <v>1289</v>
      </c>
      <c r="BZ188" t="s">
        <v>1290</v>
      </c>
      <c r="CA188">
        <v>1</v>
      </c>
      <c r="CB188">
        <v>1</v>
      </c>
      <c r="CC188" t="s">
        <v>700</v>
      </c>
      <c r="CD188" s="286">
        <v>42760</v>
      </c>
      <c r="CE188" s="296">
        <v>782760</v>
      </c>
      <c r="CF188" s="261">
        <v>51852564</v>
      </c>
      <c r="CG188" s="261">
        <v>39570377</v>
      </c>
      <c r="CH188" s="202">
        <v>7</v>
      </c>
      <c r="CI188" s="261">
        <f t="shared" si="111"/>
        <v>1047.1475692534934</v>
      </c>
      <c r="CJ188" s="261">
        <f t="shared" si="112"/>
        <v>819665231.30886447</v>
      </c>
      <c r="CL188">
        <v>6600</v>
      </c>
      <c r="CM188" s="299">
        <v>2019</v>
      </c>
      <c r="CN188" s="299">
        <v>1550</v>
      </c>
      <c r="CO188" s="300" t="s">
        <v>258</v>
      </c>
      <c r="CP188" s="299">
        <v>755</v>
      </c>
      <c r="CQ188" s="299">
        <v>29</v>
      </c>
      <c r="CR188" s="294" t="s">
        <v>385</v>
      </c>
      <c r="CS188" s="294" t="s">
        <v>401</v>
      </c>
      <c r="CT188" s="294" t="s">
        <v>402</v>
      </c>
      <c r="CU188" s="301">
        <v>47996000</v>
      </c>
      <c r="DB188">
        <f t="shared" si="114"/>
        <v>28</v>
      </c>
      <c r="DC188" s="595" t="s">
        <v>977</v>
      </c>
      <c r="DD188" s="595" t="s">
        <v>978</v>
      </c>
      <c r="DE188" s="595" t="s">
        <v>695</v>
      </c>
      <c r="DF188" s="286">
        <v>67840</v>
      </c>
      <c r="DG188" s="286">
        <v>6164580</v>
      </c>
      <c r="DH188" s="286">
        <v>283265172</v>
      </c>
      <c r="DI188" s="286">
        <v>135058659.99999997</v>
      </c>
      <c r="DJ188">
        <v>20</v>
      </c>
      <c r="DK188" s="643">
        <f t="shared" si="115"/>
        <v>878.59703070032845</v>
      </c>
      <c r="DL188" s="408">
        <f t="shared" si="116"/>
        <v>5416181683.5146303</v>
      </c>
      <c r="DM188" s="286"/>
      <c r="DN188" s="286"/>
      <c r="FH188">
        <v>20</v>
      </c>
      <c r="FI188" t="s">
        <v>963</v>
      </c>
      <c r="FJ188" t="s">
        <v>964</v>
      </c>
      <c r="FK188" t="s">
        <v>690</v>
      </c>
      <c r="FL188" s="286">
        <v>2036</v>
      </c>
      <c r="FM188" s="286">
        <v>177852</v>
      </c>
      <c r="FN188" s="286">
        <v>7972842.0000000009</v>
      </c>
      <c r="FO188" s="286">
        <v>4563705</v>
      </c>
      <c r="FP188">
        <v>7</v>
      </c>
      <c r="FQ188" s="925">
        <v>1047.1475692534934</v>
      </c>
      <c r="FR188" s="926">
        <v>186237289.48687232</v>
      </c>
      <c r="FS188">
        <v>0</v>
      </c>
    </row>
    <row r="189" spans="1:175" ht="16" customHeight="1">
      <c r="A189">
        <v>2016</v>
      </c>
      <c r="B189">
        <v>1550</v>
      </c>
      <c r="C189" t="s">
        <v>258</v>
      </c>
      <c r="D189" t="s">
        <v>245</v>
      </c>
      <c r="E189" s="203">
        <v>92</v>
      </c>
      <c r="F189" s="203" t="s">
        <v>246</v>
      </c>
      <c r="G189" s="203" t="s">
        <v>247</v>
      </c>
      <c r="H189" s="204" t="s">
        <v>249</v>
      </c>
      <c r="I189" s="202">
        <v>97</v>
      </c>
      <c r="J189" s="202">
        <v>19041</v>
      </c>
      <c r="K189" s="202">
        <v>105373000</v>
      </c>
      <c r="L189" s="253"/>
      <c r="AX189" s="254">
        <v>2019</v>
      </c>
      <c r="AY189" s="254">
        <v>1370</v>
      </c>
      <c r="AZ189" s="255" t="s">
        <v>255</v>
      </c>
      <c r="BA189" s="254">
        <v>410</v>
      </c>
      <c r="BB189" s="254">
        <v>319</v>
      </c>
      <c r="BC189" s="255" t="s">
        <v>555</v>
      </c>
      <c r="BD189" s="255" t="s">
        <v>153</v>
      </c>
      <c r="BE189" s="350">
        <v>0</v>
      </c>
      <c r="BF189" s="350">
        <v>0</v>
      </c>
      <c r="BG189" s="350">
        <v>0</v>
      </c>
      <c r="BH189" s="350">
        <v>0</v>
      </c>
      <c r="BI189" s="350">
        <v>0</v>
      </c>
      <c r="BX189" s="623"/>
      <c r="BY189" t="s">
        <v>965</v>
      </c>
      <c r="BZ189" t="s">
        <v>966</v>
      </c>
      <c r="CA189">
        <v>1</v>
      </c>
      <c r="CB189">
        <v>1</v>
      </c>
      <c r="CC189" t="s">
        <v>700</v>
      </c>
      <c r="CD189" s="286">
        <v>3080</v>
      </c>
      <c r="CE189" s="296">
        <v>85520</v>
      </c>
      <c r="CF189" s="261">
        <v>4043760</v>
      </c>
      <c r="CG189" s="261">
        <v>3446224</v>
      </c>
      <c r="CH189" s="202">
        <v>7</v>
      </c>
      <c r="CI189" s="261">
        <f t="shared" si="111"/>
        <v>1047.1475692534934</v>
      </c>
      <c r="CJ189" s="261">
        <f t="shared" si="112"/>
        <v>89552060.122558758</v>
      </c>
      <c r="CL189">
        <v>15520</v>
      </c>
      <c r="CM189" s="299">
        <v>2019</v>
      </c>
      <c r="CN189" s="299">
        <v>1550</v>
      </c>
      <c r="CO189" s="300" t="s">
        <v>258</v>
      </c>
      <c r="CP189" s="299">
        <v>755</v>
      </c>
      <c r="CQ189" s="299">
        <v>30</v>
      </c>
      <c r="CR189" s="294" t="s">
        <v>385</v>
      </c>
      <c r="CS189" s="294" t="s">
        <v>401</v>
      </c>
      <c r="CT189" s="294" t="s">
        <v>403</v>
      </c>
      <c r="CU189" s="301">
        <v>741992000</v>
      </c>
      <c r="DB189">
        <f t="shared" si="114"/>
        <v>28</v>
      </c>
      <c r="DC189" s="595" t="s">
        <v>1144</v>
      </c>
      <c r="DD189" s="595" t="s">
        <v>978</v>
      </c>
      <c r="DE189" s="595" t="s">
        <v>695</v>
      </c>
      <c r="DF189" s="286">
        <v>22836</v>
      </c>
      <c r="DG189" s="286">
        <v>1853952</v>
      </c>
      <c r="DH189" s="286">
        <v>139809950</v>
      </c>
      <c r="DI189" s="286">
        <v>33350265</v>
      </c>
      <c r="DJ189">
        <v>20</v>
      </c>
      <c r="DK189" s="643">
        <f t="shared" si="115"/>
        <v>878.59703070032845</v>
      </c>
      <c r="DL189" s="408">
        <f t="shared" si="116"/>
        <v>1628876722.2609353</v>
      </c>
      <c r="DM189" s="286"/>
      <c r="DN189" s="286"/>
      <c r="FH189">
        <v>20</v>
      </c>
      <c r="FI189" t="s">
        <v>965</v>
      </c>
      <c r="FJ189" t="s">
        <v>966</v>
      </c>
      <c r="FK189" t="s">
        <v>690</v>
      </c>
      <c r="FL189" s="286">
        <v>200389</v>
      </c>
      <c r="FM189" s="286">
        <v>20645292.999999996</v>
      </c>
      <c r="FN189" s="286">
        <v>770537910</v>
      </c>
      <c r="FO189" s="286">
        <v>483529373</v>
      </c>
      <c r="FP189">
        <v>7</v>
      </c>
      <c r="FQ189" s="925">
        <v>1047.1475692534934</v>
      </c>
      <c r="FR189" s="926">
        <v>21618668381.476158</v>
      </c>
      <c r="FS189">
        <v>0</v>
      </c>
    </row>
    <row r="190" spans="1:175" ht="16" customHeight="1">
      <c r="A190">
        <v>2016</v>
      </c>
      <c r="B190">
        <v>1550</v>
      </c>
      <c r="C190" t="s">
        <v>258</v>
      </c>
      <c r="D190" t="s">
        <v>245</v>
      </c>
      <c r="E190" s="203">
        <v>93</v>
      </c>
      <c r="F190" s="203" t="s">
        <v>250</v>
      </c>
      <c r="G190" s="203" t="s">
        <v>247</v>
      </c>
      <c r="H190" s="203" t="s">
        <v>248</v>
      </c>
      <c r="I190" s="202">
        <v>836</v>
      </c>
      <c r="J190" s="202">
        <v>26000</v>
      </c>
      <c r="K190" s="202">
        <v>75947000</v>
      </c>
      <c r="L190" s="253"/>
      <c r="AX190" s="254">
        <v>2019</v>
      </c>
      <c r="AY190" s="254">
        <v>1370</v>
      </c>
      <c r="AZ190" s="255" t="s">
        <v>255</v>
      </c>
      <c r="BA190" s="254">
        <v>410</v>
      </c>
      <c r="BB190" s="254">
        <v>320</v>
      </c>
      <c r="BC190" s="255" t="s">
        <v>555</v>
      </c>
      <c r="BD190" s="255" t="s">
        <v>202</v>
      </c>
      <c r="BE190" s="350">
        <v>0</v>
      </c>
      <c r="BF190" s="350">
        <v>0</v>
      </c>
      <c r="BG190" s="350">
        <v>0</v>
      </c>
      <c r="BH190" s="350">
        <v>0</v>
      </c>
      <c r="BI190" s="350">
        <v>0</v>
      </c>
      <c r="BX190" s="623"/>
      <c r="BY190" t="s">
        <v>1291</v>
      </c>
      <c r="BZ190" t="s">
        <v>1292</v>
      </c>
      <c r="CA190">
        <v>1</v>
      </c>
      <c r="CB190">
        <v>1</v>
      </c>
      <c r="CC190" t="s">
        <v>700</v>
      </c>
      <c r="CD190" s="286">
        <v>1160</v>
      </c>
      <c r="CE190" s="296">
        <v>22200</v>
      </c>
      <c r="CF190" s="261">
        <v>1272240</v>
      </c>
      <c r="CG190" s="261">
        <v>1182652</v>
      </c>
      <c r="CH190" s="202">
        <v>7</v>
      </c>
      <c r="CI190" s="261">
        <f t="shared" si="111"/>
        <v>1047.1475692534934</v>
      </c>
      <c r="CJ190" s="261">
        <f t="shared" si="112"/>
        <v>23246676.037427556</v>
      </c>
      <c r="CL190">
        <v>37880</v>
      </c>
      <c r="CM190" s="299">
        <v>2019</v>
      </c>
      <c r="CN190" s="299">
        <v>1550</v>
      </c>
      <c r="CO190" s="300" t="s">
        <v>258</v>
      </c>
      <c r="CP190" s="299">
        <v>755</v>
      </c>
      <c r="CQ190" s="299">
        <v>31</v>
      </c>
      <c r="CR190" s="294" t="s">
        <v>385</v>
      </c>
      <c r="CS190" s="294" t="s">
        <v>404</v>
      </c>
      <c r="CT190" s="294" t="s">
        <v>387</v>
      </c>
      <c r="CU190" s="301">
        <v>0</v>
      </c>
      <c r="DB190">
        <f t="shared" si="114"/>
        <v>28</v>
      </c>
      <c r="DC190" s="595" t="s">
        <v>979</v>
      </c>
      <c r="DD190" s="595" t="s">
        <v>980</v>
      </c>
      <c r="DE190" s="595" t="s">
        <v>690</v>
      </c>
      <c r="DF190" s="286">
        <v>984</v>
      </c>
      <c r="DG190" s="286">
        <v>86340</v>
      </c>
      <c r="DH190" s="286">
        <v>5674236</v>
      </c>
      <c r="DI190" s="286">
        <v>1798354</v>
      </c>
      <c r="DJ190">
        <v>20</v>
      </c>
      <c r="DK190" s="643">
        <f t="shared" si="115"/>
        <v>878.59703070032845</v>
      </c>
      <c r="DL190" s="408">
        <f t="shared" si="116"/>
        <v>75858067.63066636</v>
      </c>
      <c r="DM190" s="286"/>
      <c r="DN190" s="286"/>
      <c r="FH190">
        <v>20</v>
      </c>
      <c r="FI190" t="s">
        <v>967</v>
      </c>
      <c r="FJ190" t="s">
        <v>968</v>
      </c>
      <c r="FK190" t="s">
        <v>690</v>
      </c>
      <c r="FL190" s="286">
        <v>51255</v>
      </c>
      <c r="FM190" s="286">
        <v>5345098</v>
      </c>
      <c r="FN190" s="286">
        <v>207268947.99999997</v>
      </c>
      <c r="FO190" s="286">
        <v>117613500.99999999</v>
      </c>
      <c r="FP190">
        <v>7</v>
      </c>
      <c r="FQ190" s="925">
        <v>1047.1475692534934</v>
      </c>
      <c r="FR190" s="926">
        <v>5597106378.1217089</v>
      </c>
      <c r="FS190">
        <v>0</v>
      </c>
    </row>
    <row r="191" spans="1:175" ht="16" customHeight="1">
      <c r="A191">
        <v>2016</v>
      </c>
      <c r="B191">
        <v>1550</v>
      </c>
      <c r="C191" t="s">
        <v>258</v>
      </c>
      <c r="D191" t="s">
        <v>245</v>
      </c>
      <c r="E191" s="203">
        <v>94</v>
      </c>
      <c r="F191" s="203" t="s">
        <v>250</v>
      </c>
      <c r="G191" s="203" t="s">
        <v>247</v>
      </c>
      <c r="H191" s="203" t="s">
        <v>249</v>
      </c>
      <c r="I191" s="202">
        <v>0</v>
      </c>
      <c r="J191" s="202">
        <v>0</v>
      </c>
      <c r="K191" s="202">
        <v>0</v>
      </c>
      <c r="L191" s="253"/>
      <c r="AX191" s="254">
        <v>2019</v>
      </c>
      <c r="AY191" s="254">
        <v>1370</v>
      </c>
      <c r="AZ191" s="255" t="s">
        <v>255</v>
      </c>
      <c r="BA191" s="254">
        <v>410</v>
      </c>
      <c r="BB191" s="254">
        <v>321</v>
      </c>
      <c r="BC191" s="255" t="s">
        <v>555</v>
      </c>
      <c r="BD191" s="255" t="s">
        <v>156</v>
      </c>
      <c r="BE191" s="350">
        <v>0</v>
      </c>
      <c r="BF191" s="350">
        <v>0</v>
      </c>
      <c r="BG191" s="350">
        <v>0</v>
      </c>
      <c r="BH191" s="350">
        <v>0</v>
      </c>
      <c r="BI191" s="350">
        <v>0</v>
      </c>
      <c r="BX191" s="623"/>
      <c r="BY191" t="s">
        <v>1293</v>
      </c>
      <c r="BZ191" t="s">
        <v>1294</v>
      </c>
      <c r="CA191">
        <v>1</v>
      </c>
      <c r="CB191">
        <v>1</v>
      </c>
      <c r="CC191" t="s">
        <v>700</v>
      </c>
      <c r="CD191" s="286">
        <v>3000</v>
      </c>
      <c r="CE191" s="296">
        <v>38960</v>
      </c>
      <c r="CF191" s="261">
        <v>3055640</v>
      </c>
      <c r="CG191" s="261">
        <v>2464002</v>
      </c>
      <c r="CH191" s="202">
        <v>6</v>
      </c>
      <c r="CI191" s="261">
        <f t="shared" si="111"/>
        <v>1380.3735792495058</v>
      </c>
      <c r="CJ191" s="261">
        <f t="shared" si="112"/>
        <v>53779354.647560745</v>
      </c>
      <c r="CL191">
        <v>239960</v>
      </c>
      <c r="CM191" s="299">
        <v>2019</v>
      </c>
      <c r="CN191" s="299">
        <v>1550</v>
      </c>
      <c r="CO191" s="300" t="s">
        <v>258</v>
      </c>
      <c r="CP191" s="299">
        <v>755</v>
      </c>
      <c r="CQ191" s="299">
        <v>32</v>
      </c>
      <c r="CR191" s="294" t="s">
        <v>385</v>
      </c>
      <c r="CS191" s="294" t="s">
        <v>404</v>
      </c>
      <c r="CT191" s="294" t="s">
        <v>388</v>
      </c>
      <c r="CU191" s="301">
        <v>6455000</v>
      </c>
      <c r="DB191">
        <f t="shared" si="114"/>
        <v>28</v>
      </c>
      <c r="DC191" s="595" t="s">
        <v>979</v>
      </c>
      <c r="DD191" s="595" t="s">
        <v>980</v>
      </c>
      <c r="DE191" s="595" t="s">
        <v>695</v>
      </c>
      <c r="DF191" s="286">
        <v>23980</v>
      </c>
      <c r="DG191" s="286">
        <v>2196587.9999999995</v>
      </c>
      <c r="DH191" s="286">
        <v>83821691</v>
      </c>
      <c r="DI191" s="286">
        <v>39782667</v>
      </c>
      <c r="DJ191">
        <v>20</v>
      </c>
      <c r="DK191" s="643">
        <f t="shared" si="115"/>
        <v>878.59703070032845</v>
      </c>
      <c r="DL191" s="408">
        <f t="shared" si="116"/>
        <v>1929915694.4719727</v>
      </c>
      <c r="DM191" s="286"/>
      <c r="DN191" s="286"/>
      <c r="FH191">
        <v>20</v>
      </c>
      <c r="FI191" t="s">
        <v>957</v>
      </c>
      <c r="FJ191" t="s">
        <v>958</v>
      </c>
      <c r="FK191" t="s">
        <v>690</v>
      </c>
      <c r="FL191" s="286">
        <v>15236</v>
      </c>
      <c r="FM191" s="286">
        <v>1523586</v>
      </c>
      <c r="FN191" s="286">
        <v>59682754</v>
      </c>
      <c r="FO191" s="286">
        <v>34649070</v>
      </c>
      <c r="FP191">
        <v>8</v>
      </c>
      <c r="FQ191" s="925">
        <v>1895.097258824158</v>
      </c>
      <c r="FR191" s="926">
        <v>2887343652.1828637</v>
      </c>
      <c r="FS191">
        <v>0</v>
      </c>
    </row>
    <row r="192" spans="1:175" ht="16" customHeight="1">
      <c r="A192">
        <v>2016</v>
      </c>
      <c r="B192">
        <v>1550</v>
      </c>
      <c r="C192" t="s">
        <v>258</v>
      </c>
      <c r="D192" t="s">
        <v>245</v>
      </c>
      <c r="E192">
        <v>97</v>
      </c>
      <c r="F192" t="s">
        <v>251</v>
      </c>
      <c r="G192" t="s">
        <v>247</v>
      </c>
      <c r="H192" t="s">
        <v>248</v>
      </c>
      <c r="I192" s="202">
        <v>0</v>
      </c>
      <c r="J192" s="202">
        <v>0</v>
      </c>
      <c r="K192" s="202">
        <v>0</v>
      </c>
      <c r="L192" s="253"/>
      <c r="AX192" s="254">
        <v>2019</v>
      </c>
      <c r="AY192" s="254">
        <v>1370</v>
      </c>
      <c r="AZ192" s="255" t="s">
        <v>255</v>
      </c>
      <c r="BA192" s="254">
        <v>410</v>
      </c>
      <c r="BB192" s="254">
        <v>322</v>
      </c>
      <c r="BC192" s="255" t="s">
        <v>555</v>
      </c>
      <c r="BD192" s="255" t="s">
        <v>158</v>
      </c>
      <c r="BE192" s="350">
        <v>0</v>
      </c>
      <c r="BF192" s="350">
        <v>0</v>
      </c>
      <c r="BG192" s="350">
        <v>0</v>
      </c>
      <c r="BH192" s="350">
        <v>0</v>
      </c>
      <c r="BI192" s="350">
        <v>0</v>
      </c>
      <c r="BX192" s="623"/>
      <c r="BY192" t="s">
        <v>1295</v>
      </c>
      <c r="BZ192" t="s">
        <v>1296</v>
      </c>
      <c r="CA192">
        <v>1</v>
      </c>
      <c r="CB192">
        <v>1</v>
      </c>
      <c r="CC192" t="s">
        <v>700</v>
      </c>
      <c r="CD192" s="286">
        <v>1680</v>
      </c>
      <c r="CE192" s="296">
        <v>20440</v>
      </c>
      <c r="CF192" s="261">
        <v>2030046</v>
      </c>
      <c r="CG192" s="261">
        <v>853930</v>
      </c>
      <c r="CH192" s="202">
        <v>7</v>
      </c>
      <c r="CI192" s="261">
        <f t="shared" si="111"/>
        <v>1047.1475692534934</v>
      </c>
      <c r="CJ192" s="261">
        <f t="shared" si="112"/>
        <v>21403696.315541405</v>
      </c>
      <c r="CL192">
        <v>20880</v>
      </c>
      <c r="CM192" s="299">
        <v>2019</v>
      </c>
      <c r="CN192" s="299">
        <v>1550</v>
      </c>
      <c r="CO192" s="300" t="s">
        <v>258</v>
      </c>
      <c r="CP192" s="299">
        <v>755</v>
      </c>
      <c r="CQ192" s="299">
        <v>33</v>
      </c>
      <c r="CR192" s="294" t="s">
        <v>385</v>
      </c>
      <c r="CS192" s="294" t="s">
        <v>404</v>
      </c>
      <c r="CT192" s="294" t="s">
        <v>389</v>
      </c>
      <c r="CU192" s="301">
        <v>80713000</v>
      </c>
      <c r="DB192">
        <f t="shared" si="114"/>
        <v>28</v>
      </c>
      <c r="DC192" s="595" t="s">
        <v>1145</v>
      </c>
      <c r="DD192" s="595" t="s">
        <v>1146</v>
      </c>
      <c r="DE192" s="595" t="s">
        <v>695</v>
      </c>
      <c r="DF192" s="286">
        <v>549947</v>
      </c>
      <c r="DG192" s="286">
        <v>51748361.000000007</v>
      </c>
      <c r="DH192" s="286">
        <v>1952107910.0000002</v>
      </c>
      <c r="DI192" s="286">
        <v>1090793661</v>
      </c>
      <c r="DJ192">
        <v>17</v>
      </c>
      <c r="DK192" s="643">
        <f t="shared" si="115"/>
        <v>519.17405707126977</v>
      </c>
      <c r="DL192" s="408">
        <f t="shared" si="116"/>
        <v>26866406527.158676</v>
      </c>
      <c r="DM192" s="286"/>
      <c r="DN192" s="286"/>
      <c r="FH192">
        <v>20</v>
      </c>
      <c r="FI192" t="s">
        <v>959</v>
      </c>
      <c r="FJ192" t="s">
        <v>960</v>
      </c>
      <c r="FK192" t="s">
        <v>690</v>
      </c>
      <c r="FL192" s="286">
        <v>35032</v>
      </c>
      <c r="FM192" s="286">
        <v>3181760</v>
      </c>
      <c r="FN192" s="286">
        <v>179502592</v>
      </c>
      <c r="FO192" s="286">
        <v>90735348.999999985</v>
      </c>
      <c r="FP192">
        <v>8</v>
      </c>
      <c r="FQ192" s="925">
        <v>1895.097258824158</v>
      </c>
      <c r="FR192" s="926">
        <v>6029744654.2363529</v>
      </c>
      <c r="FS192">
        <v>0</v>
      </c>
    </row>
    <row r="193" spans="1:175" ht="16" customHeight="1">
      <c r="A193">
        <v>2016</v>
      </c>
      <c r="B193">
        <v>1550</v>
      </c>
      <c r="C193" t="s">
        <v>258</v>
      </c>
      <c r="D193" t="s">
        <v>245</v>
      </c>
      <c r="E193">
        <v>98</v>
      </c>
      <c r="F193" t="s">
        <v>251</v>
      </c>
      <c r="G193" t="s">
        <v>247</v>
      </c>
      <c r="H193" t="s">
        <v>249</v>
      </c>
      <c r="I193" s="202">
        <v>0</v>
      </c>
      <c r="J193" s="202">
        <v>0</v>
      </c>
      <c r="K193" s="202">
        <v>0</v>
      </c>
      <c r="L193" s="253"/>
      <c r="AX193" s="254">
        <v>2019</v>
      </c>
      <c r="AY193" s="254">
        <v>1370</v>
      </c>
      <c r="AZ193" s="255" t="s">
        <v>255</v>
      </c>
      <c r="BA193" s="254">
        <v>410</v>
      </c>
      <c r="BB193" s="254">
        <v>323</v>
      </c>
      <c r="BC193" s="255" t="s">
        <v>555</v>
      </c>
      <c r="BD193" s="255" t="s">
        <v>562</v>
      </c>
      <c r="BE193" s="350">
        <v>9116000</v>
      </c>
      <c r="BF193" s="350">
        <v>1710000</v>
      </c>
      <c r="BG193" s="350">
        <v>14774000</v>
      </c>
      <c r="BH193" s="350">
        <v>68857000</v>
      </c>
      <c r="BI193" s="350">
        <v>94457000</v>
      </c>
      <c r="BX193" s="623"/>
      <c r="BY193" t="s">
        <v>832</v>
      </c>
      <c r="BZ193" t="s">
        <v>833</v>
      </c>
      <c r="CA193">
        <v>1</v>
      </c>
      <c r="CB193">
        <v>1</v>
      </c>
      <c r="CC193" t="s">
        <v>700</v>
      </c>
      <c r="CD193" s="286">
        <v>86440</v>
      </c>
      <c r="CE193" s="296">
        <v>1410960</v>
      </c>
      <c r="CF193" s="261">
        <v>112293927</v>
      </c>
      <c r="CG193" s="261">
        <v>77037016</v>
      </c>
      <c r="CH193" s="202">
        <v>7</v>
      </c>
      <c r="CI193" s="261">
        <f t="shared" si="111"/>
        <v>1047.1475692534934</v>
      </c>
      <c r="CJ193" s="261">
        <f t="shared" si="112"/>
        <v>1477483334.3139091</v>
      </c>
      <c r="CL193">
        <v>918320</v>
      </c>
      <c r="CM193" s="299">
        <v>2019</v>
      </c>
      <c r="CN193" s="299">
        <v>1550</v>
      </c>
      <c r="CO193" s="300" t="s">
        <v>258</v>
      </c>
      <c r="CP193" s="299">
        <v>755</v>
      </c>
      <c r="CQ193" s="299">
        <v>34</v>
      </c>
      <c r="CR193" s="294" t="s">
        <v>385</v>
      </c>
      <c r="CS193" s="294" t="s">
        <v>404</v>
      </c>
      <c r="CT193" s="294" t="s">
        <v>390</v>
      </c>
      <c r="CU193" s="301">
        <v>154500000</v>
      </c>
      <c r="DB193">
        <f t="shared" si="114"/>
        <v>28</v>
      </c>
      <c r="DC193" s="595" t="s">
        <v>1147</v>
      </c>
      <c r="DD193" s="595" t="s">
        <v>1148</v>
      </c>
      <c r="DE193" s="595" t="s">
        <v>695</v>
      </c>
      <c r="DF193" s="286">
        <v>58664</v>
      </c>
      <c r="DG193" s="286">
        <v>5472675.9999999991</v>
      </c>
      <c r="DH193" s="286">
        <v>243126948</v>
      </c>
      <c r="DI193" s="286">
        <v>117851188</v>
      </c>
      <c r="DJ193">
        <v>20</v>
      </c>
      <c r="DK193" s="643">
        <f t="shared" si="115"/>
        <v>878.59703070032845</v>
      </c>
      <c r="DL193" s="408">
        <f t="shared" si="116"/>
        <v>4808276883.5849495</v>
      </c>
      <c r="DM193" s="286"/>
      <c r="DN193" s="286"/>
      <c r="FH193">
        <v>14</v>
      </c>
      <c r="FI193" t="s">
        <v>921</v>
      </c>
      <c r="FJ193" t="s">
        <v>922</v>
      </c>
      <c r="FK193" t="s">
        <v>690</v>
      </c>
      <c r="FL193" s="286">
        <v>9480</v>
      </c>
      <c r="FM193" s="286">
        <v>962599.99999999988</v>
      </c>
      <c r="FN193" s="286">
        <v>50216740.000000007</v>
      </c>
      <c r="FO193" s="286">
        <v>24533029</v>
      </c>
      <c r="FP193">
        <v>11</v>
      </c>
      <c r="FQ193" s="925">
        <v>18.422893971718388</v>
      </c>
      <c r="FR193" s="926">
        <v>17733877.737176117</v>
      </c>
      <c r="FS193">
        <v>0</v>
      </c>
    </row>
    <row r="194" spans="1:175" ht="16" customHeight="1">
      <c r="A194">
        <v>2015</v>
      </c>
      <c r="B194">
        <v>3740</v>
      </c>
      <c r="C194" t="s">
        <v>244</v>
      </c>
      <c r="D194" t="s">
        <v>245</v>
      </c>
      <c r="E194" s="203">
        <v>91</v>
      </c>
      <c r="F194" s="203" t="s">
        <v>246</v>
      </c>
      <c r="G194" s="203" t="s">
        <v>247</v>
      </c>
      <c r="H194" s="203" t="s">
        <v>248</v>
      </c>
      <c r="I194" s="202">
        <v>264</v>
      </c>
      <c r="J194" s="202">
        <v>55689</v>
      </c>
      <c r="K194" s="202">
        <v>707909000</v>
      </c>
      <c r="L194" s="253"/>
      <c r="BX194" s="623"/>
      <c r="BY194" t="s">
        <v>1297</v>
      </c>
      <c r="BZ194" t="s">
        <v>1298</v>
      </c>
      <c r="CA194">
        <v>1</v>
      </c>
      <c r="CB194">
        <v>1</v>
      </c>
      <c r="CC194" t="s">
        <v>700</v>
      </c>
      <c r="CD194" s="286">
        <v>9560</v>
      </c>
      <c r="CE194" s="296">
        <v>126440</v>
      </c>
      <c r="CF194" s="261">
        <v>8614832</v>
      </c>
      <c r="CG194" s="261">
        <v>7354914</v>
      </c>
      <c r="CH194" s="202">
        <v>7</v>
      </c>
      <c r="CI194" s="261">
        <f t="shared" si="111"/>
        <v>1047.1475692534934</v>
      </c>
      <c r="CJ194" s="261">
        <f t="shared" si="112"/>
        <v>132401338.65641171</v>
      </c>
      <c r="CL194">
        <v>778600</v>
      </c>
      <c r="CM194" s="299">
        <v>2019</v>
      </c>
      <c r="CN194" s="299">
        <v>1550</v>
      </c>
      <c r="CO194" s="300" t="s">
        <v>258</v>
      </c>
      <c r="CP194" s="299">
        <v>755</v>
      </c>
      <c r="CQ194" s="299">
        <v>35</v>
      </c>
      <c r="CR194" s="294" t="s">
        <v>385</v>
      </c>
      <c r="CS194" s="294" t="s">
        <v>404</v>
      </c>
      <c r="CT194" s="294" t="s">
        <v>391</v>
      </c>
      <c r="CU194" s="301">
        <v>59261000</v>
      </c>
      <c r="DB194">
        <f t="shared" si="114"/>
        <v>28</v>
      </c>
      <c r="DC194" s="595" t="s">
        <v>981</v>
      </c>
      <c r="DD194" s="595" t="s">
        <v>982</v>
      </c>
      <c r="DE194" s="595" t="s">
        <v>690</v>
      </c>
      <c r="DF194" s="286">
        <v>27176</v>
      </c>
      <c r="DG194" s="286">
        <v>2877772</v>
      </c>
      <c r="DH194" s="286">
        <v>126578127.00000001</v>
      </c>
      <c r="DI194" s="286">
        <v>42613988.000000007</v>
      </c>
      <c r="DJ194">
        <v>20</v>
      </c>
      <c r="DK194" s="643">
        <f t="shared" si="115"/>
        <v>878.59703070032845</v>
      </c>
      <c r="DL194" s="408">
        <f t="shared" si="116"/>
        <v>2528401934.2325454</v>
      </c>
      <c r="DM194" s="286"/>
      <c r="DN194" s="286"/>
      <c r="FH194">
        <v>14</v>
      </c>
      <c r="FI194" t="s">
        <v>923</v>
      </c>
      <c r="FJ194" t="s">
        <v>924</v>
      </c>
      <c r="FK194" t="s">
        <v>690</v>
      </c>
      <c r="FL194" s="286">
        <v>48785</v>
      </c>
      <c r="FM194" s="286">
        <v>5073568</v>
      </c>
      <c r="FN194" s="286">
        <v>84690705</v>
      </c>
      <c r="FO194" s="286">
        <v>49912520.000000007</v>
      </c>
      <c r="FP194">
        <v>13</v>
      </c>
      <c r="FQ194" s="925">
        <v>106.2931379319991</v>
      </c>
      <c r="FR194" s="926">
        <v>539285463.23137677</v>
      </c>
      <c r="FS194">
        <v>0</v>
      </c>
    </row>
    <row r="195" spans="1:175" ht="16" customHeight="1">
      <c r="A195">
        <v>2015</v>
      </c>
      <c r="B195">
        <v>3740</v>
      </c>
      <c r="C195" t="s">
        <v>244</v>
      </c>
      <c r="D195" t="s">
        <v>245</v>
      </c>
      <c r="E195" s="203">
        <v>92</v>
      </c>
      <c r="F195" s="203" t="s">
        <v>246</v>
      </c>
      <c r="G195" s="203" t="s">
        <v>247</v>
      </c>
      <c r="H195" s="204" t="s">
        <v>249</v>
      </c>
      <c r="I195" s="202">
        <v>151</v>
      </c>
      <c r="J195" s="202">
        <v>27643</v>
      </c>
      <c r="K195" s="202">
        <v>168225000</v>
      </c>
      <c r="L195" s="253"/>
      <c r="BX195" s="623"/>
      <c r="BY195" t="s">
        <v>1299</v>
      </c>
      <c r="BZ195" t="s">
        <v>1300</v>
      </c>
      <c r="CA195">
        <v>1</v>
      </c>
      <c r="CB195">
        <v>1</v>
      </c>
      <c r="CC195" t="s">
        <v>700</v>
      </c>
      <c r="CD195" s="286">
        <v>640</v>
      </c>
      <c r="CE195" s="296">
        <v>9320</v>
      </c>
      <c r="CF195" s="261">
        <v>675868</v>
      </c>
      <c r="CG195" s="261">
        <v>547900</v>
      </c>
      <c r="CH195" s="202">
        <v>7</v>
      </c>
      <c r="CI195" s="261">
        <f t="shared" ref="CI195:CI258" si="117">VLOOKUP($CH195,$DC$341:$DG$383,5)</f>
        <v>1047.1475692534934</v>
      </c>
      <c r="CJ195" s="261">
        <f t="shared" ref="CJ195:CJ258" si="118">CI195*CE195</f>
        <v>9759415.3454425596</v>
      </c>
      <c r="CL195">
        <v>204600</v>
      </c>
      <c r="CM195" s="299">
        <v>2019</v>
      </c>
      <c r="CN195" s="299">
        <v>1550</v>
      </c>
      <c r="CO195" s="300" t="s">
        <v>258</v>
      </c>
      <c r="CP195" s="299">
        <v>755</v>
      </c>
      <c r="CQ195" s="299">
        <v>36</v>
      </c>
      <c r="CR195" s="294" t="s">
        <v>385</v>
      </c>
      <c r="CS195" s="294" t="s">
        <v>404</v>
      </c>
      <c r="CT195" s="294" t="s">
        <v>392</v>
      </c>
      <c r="CU195" s="301">
        <v>95867000</v>
      </c>
      <c r="DB195">
        <f t="shared" si="114"/>
        <v>28</v>
      </c>
      <c r="DC195" s="595" t="s">
        <v>981</v>
      </c>
      <c r="DD195" s="595" t="s">
        <v>982</v>
      </c>
      <c r="DE195" s="595" t="s">
        <v>695</v>
      </c>
      <c r="DF195" s="286">
        <v>28120</v>
      </c>
      <c r="DG195" s="286">
        <v>2577600</v>
      </c>
      <c r="DH195" s="286">
        <v>105711834</v>
      </c>
      <c r="DI195" s="286">
        <v>56506187.000000007</v>
      </c>
      <c r="DJ195">
        <v>20</v>
      </c>
      <c r="DK195" s="643">
        <f t="shared" si="115"/>
        <v>878.59703070032845</v>
      </c>
      <c r="DL195" s="408">
        <f t="shared" si="116"/>
        <v>2264671706.3331666</v>
      </c>
      <c r="DM195" s="286"/>
      <c r="DN195" s="286"/>
      <c r="FH195">
        <v>14</v>
      </c>
      <c r="FI195" t="s">
        <v>925</v>
      </c>
      <c r="FJ195" t="s">
        <v>926</v>
      </c>
      <c r="FK195" t="s">
        <v>690</v>
      </c>
      <c r="FL195" s="286">
        <v>1640</v>
      </c>
      <c r="FM195" s="286">
        <v>92760</v>
      </c>
      <c r="FN195" s="286">
        <v>11703360</v>
      </c>
      <c r="FO195" s="286">
        <v>5076743</v>
      </c>
      <c r="FP195">
        <v>13</v>
      </c>
      <c r="FQ195" s="925">
        <v>106.2931379319991</v>
      </c>
      <c r="FR195" s="926">
        <v>9859751.4745722357</v>
      </c>
      <c r="FS195">
        <v>0</v>
      </c>
    </row>
    <row r="196" spans="1:175" ht="16" customHeight="1">
      <c r="A196">
        <v>2015</v>
      </c>
      <c r="B196">
        <v>3740</v>
      </c>
      <c r="C196" t="s">
        <v>244</v>
      </c>
      <c r="D196" t="s">
        <v>245</v>
      </c>
      <c r="E196" s="203">
        <v>93</v>
      </c>
      <c r="F196" s="203" t="s">
        <v>250</v>
      </c>
      <c r="G196" s="203" t="s">
        <v>247</v>
      </c>
      <c r="H196" s="203" t="s">
        <v>248</v>
      </c>
      <c r="I196" s="202">
        <v>300</v>
      </c>
      <c r="J196" s="202">
        <v>15569</v>
      </c>
      <c r="K196" s="202">
        <v>82685000</v>
      </c>
      <c r="L196" s="253"/>
      <c r="BX196" s="623"/>
      <c r="BY196" t="s">
        <v>1212</v>
      </c>
      <c r="BZ196" t="s">
        <v>1213</v>
      </c>
      <c r="CA196">
        <v>1</v>
      </c>
      <c r="CB196">
        <v>1</v>
      </c>
      <c r="CC196" t="s">
        <v>699</v>
      </c>
      <c r="CD196" s="286">
        <v>720</v>
      </c>
      <c r="CE196" s="296">
        <v>13920</v>
      </c>
      <c r="CF196" s="261">
        <v>1031920.0000000001</v>
      </c>
      <c r="CG196" s="261">
        <v>715881</v>
      </c>
      <c r="CH196" s="202">
        <v>7</v>
      </c>
      <c r="CI196" s="261">
        <f t="shared" si="117"/>
        <v>1047.1475692534934</v>
      </c>
      <c r="CJ196" s="261">
        <f t="shared" si="118"/>
        <v>14576294.164008629</v>
      </c>
      <c r="CL196">
        <v>782760</v>
      </c>
      <c r="CM196" s="299">
        <v>2019</v>
      </c>
      <c r="CN196" s="299">
        <v>1550</v>
      </c>
      <c r="CO196" s="300" t="s">
        <v>258</v>
      </c>
      <c r="CP196" s="299">
        <v>755</v>
      </c>
      <c r="CQ196" s="299">
        <v>37</v>
      </c>
      <c r="CR196" s="294" t="s">
        <v>385</v>
      </c>
      <c r="CS196" s="294" t="s">
        <v>404</v>
      </c>
      <c r="CT196" s="294" t="s">
        <v>393</v>
      </c>
      <c r="CU196" s="301">
        <v>47517000</v>
      </c>
      <c r="DB196">
        <f t="shared" si="114"/>
        <v>28</v>
      </c>
      <c r="DC196" s="595" t="s">
        <v>1149</v>
      </c>
      <c r="DD196" s="595" t="s">
        <v>1150</v>
      </c>
      <c r="DE196" s="595" t="s">
        <v>695</v>
      </c>
      <c r="DF196" s="286">
        <v>400</v>
      </c>
      <c r="DG196" s="286">
        <v>36800</v>
      </c>
      <c r="DH196" s="286">
        <v>2086800.0000000002</v>
      </c>
      <c r="DI196" s="286">
        <v>813504</v>
      </c>
      <c r="DJ196">
        <v>20</v>
      </c>
      <c r="DK196" s="643">
        <f t="shared" si="115"/>
        <v>878.59703070032845</v>
      </c>
      <c r="DL196" s="408">
        <f t="shared" si="116"/>
        <v>32332370.729772087</v>
      </c>
      <c r="DM196" s="286"/>
      <c r="DN196" s="286"/>
      <c r="FH196">
        <v>14</v>
      </c>
      <c r="FI196" t="s">
        <v>927</v>
      </c>
      <c r="FJ196" t="s">
        <v>928</v>
      </c>
      <c r="FK196" t="s">
        <v>690</v>
      </c>
      <c r="FL196" s="286">
        <v>4680</v>
      </c>
      <c r="FM196" s="286">
        <v>463240</v>
      </c>
      <c r="FN196" s="286">
        <v>30202360</v>
      </c>
      <c r="FO196" s="286">
        <v>15747095</v>
      </c>
      <c r="FP196">
        <v>13</v>
      </c>
      <c r="FQ196" s="925">
        <v>106.2931379319991</v>
      </c>
      <c r="FR196" s="926">
        <v>49239233.215619259</v>
      </c>
      <c r="FS196">
        <v>0</v>
      </c>
    </row>
    <row r="197" spans="1:175" ht="16" customHeight="1">
      <c r="A197">
        <v>2015</v>
      </c>
      <c r="B197">
        <v>3740</v>
      </c>
      <c r="C197" t="s">
        <v>244</v>
      </c>
      <c r="D197" t="s">
        <v>245</v>
      </c>
      <c r="E197" s="203">
        <v>94</v>
      </c>
      <c r="F197" s="203" t="s">
        <v>250</v>
      </c>
      <c r="G197" s="203" t="s">
        <v>247</v>
      </c>
      <c r="H197" s="204" t="s">
        <v>249</v>
      </c>
      <c r="I197" s="202">
        <v>0</v>
      </c>
      <c r="J197" s="202">
        <v>0</v>
      </c>
      <c r="K197" s="202">
        <v>0</v>
      </c>
      <c r="L197" s="253"/>
      <c r="BX197" s="623"/>
      <c r="BY197" t="s">
        <v>1212</v>
      </c>
      <c r="BZ197" t="s">
        <v>1213</v>
      </c>
      <c r="CA197">
        <v>1</v>
      </c>
      <c r="CB197">
        <v>1</v>
      </c>
      <c r="CC197" t="s">
        <v>700</v>
      </c>
      <c r="CD197" s="286">
        <v>92320</v>
      </c>
      <c r="CE197" s="296">
        <v>1559720</v>
      </c>
      <c r="CF197" s="261">
        <v>108221734</v>
      </c>
      <c r="CG197" s="261">
        <v>80933880</v>
      </c>
      <c r="CH197" s="202">
        <v>7</v>
      </c>
      <c r="CI197" s="261">
        <f t="shared" si="117"/>
        <v>1047.1475692534934</v>
      </c>
      <c r="CJ197" s="261">
        <f t="shared" si="118"/>
        <v>1633257006.7160587</v>
      </c>
      <c r="CL197">
        <v>85520</v>
      </c>
      <c r="CM197" s="299">
        <v>2019</v>
      </c>
      <c r="CN197" s="299">
        <v>1550</v>
      </c>
      <c r="CO197" s="300" t="s">
        <v>258</v>
      </c>
      <c r="CP197" s="299">
        <v>755</v>
      </c>
      <c r="CQ197" s="299">
        <v>38</v>
      </c>
      <c r="CR197" s="294" t="s">
        <v>385</v>
      </c>
      <c r="CS197" s="294" t="s">
        <v>404</v>
      </c>
      <c r="CT197" s="294" t="s">
        <v>394</v>
      </c>
      <c r="CU197" s="301">
        <v>12148000</v>
      </c>
      <c r="DB197">
        <f t="shared" si="114"/>
        <v>28</v>
      </c>
      <c r="DC197" s="595" t="s">
        <v>1151</v>
      </c>
      <c r="DD197" s="595" t="s">
        <v>976</v>
      </c>
      <c r="DE197" s="595" t="s">
        <v>695</v>
      </c>
      <c r="DF197" s="286">
        <v>7600</v>
      </c>
      <c r="DG197" s="286">
        <v>673360</v>
      </c>
      <c r="DH197" s="286">
        <v>38362750</v>
      </c>
      <c r="DI197" s="286">
        <v>17207987.999999996</v>
      </c>
      <c r="DJ197">
        <v>20</v>
      </c>
      <c r="DK197" s="643">
        <f t="shared" si="115"/>
        <v>878.59703070032845</v>
      </c>
      <c r="DL197" s="408">
        <f t="shared" si="116"/>
        <v>591612096.59237313</v>
      </c>
      <c r="DM197" s="286"/>
      <c r="DN197" s="286"/>
      <c r="FH197">
        <v>28</v>
      </c>
      <c r="FI197" t="s">
        <v>855</v>
      </c>
      <c r="FJ197" t="s">
        <v>856</v>
      </c>
      <c r="FK197" t="s">
        <v>690</v>
      </c>
      <c r="FL197" s="286">
        <v>14236</v>
      </c>
      <c r="FM197" s="286">
        <v>1468608.0000000002</v>
      </c>
      <c r="FN197" s="286">
        <v>64423135</v>
      </c>
      <c r="FO197" s="286">
        <v>35799050</v>
      </c>
      <c r="FP197">
        <v>13</v>
      </c>
      <c r="FQ197" s="925">
        <v>106.2931379319991</v>
      </c>
      <c r="FR197" s="926">
        <v>156102952.71203735</v>
      </c>
      <c r="FS197">
        <v>0</v>
      </c>
    </row>
    <row r="198" spans="1:175" ht="16" customHeight="1">
      <c r="A198">
        <v>2015</v>
      </c>
      <c r="B198">
        <v>3740</v>
      </c>
      <c r="C198" t="s">
        <v>244</v>
      </c>
      <c r="D198" t="s">
        <v>245</v>
      </c>
      <c r="E198" s="203">
        <v>97</v>
      </c>
      <c r="F198" s="203" t="s">
        <v>251</v>
      </c>
      <c r="G198" s="203" t="s">
        <v>247</v>
      </c>
      <c r="H198" s="203" t="s">
        <v>248</v>
      </c>
      <c r="I198" s="202">
        <v>12901</v>
      </c>
      <c r="J198" s="202">
        <v>56768</v>
      </c>
      <c r="K198" s="202">
        <v>152070000</v>
      </c>
      <c r="L198" s="253"/>
      <c r="BX198" s="623"/>
      <c r="BY198" t="s">
        <v>1301</v>
      </c>
      <c r="BZ198" t="s">
        <v>1302</v>
      </c>
      <c r="CA198">
        <v>1</v>
      </c>
      <c r="CB198">
        <v>1</v>
      </c>
      <c r="CC198" t="s">
        <v>700</v>
      </c>
      <c r="CD198" s="286">
        <v>1280</v>
      </c>
      <c r="CE198" s="296">
        <v>16640</v>
      </c>
      <c r="CF198" s="261">
        <v>1207772</v>
      </c>
      <c r="CG198" s="261">
        <v>870720</v>
      </c>
      <c r="CH198" s="202">
        <v>24</v>
      </c>
      <c r="CI198" s="261">
        <f t="shared" si="117"/>
        <v>2791.0393486833841</v>
      </c>
      <c r="CJ198" s="261">
        <f t="shared" si="118"/>
        <v>46442894.76209151</v>
      </c>
      <c r="CL198">
        <v>22200</v>
      </c>
      <c r="CM198" s="299">
        <v>2019</v>
      </c>
      <c r="CN198" s="299">
        <v>1550</v>
      </c>
      <c r="CO198" s="300" t="s">
        <v>258</v>
      </c>
      <c r="CP198" s="299">
        <v>755</v>
      </c>
      <c r="CQ198" s="299">
        <v>39</v>
      </c>
      <c r="CR198" s="294" t="s">
        <v>385</v>
      </c>
      <c r="CS198" s="294" t="s">
        <v>404</v>
      </c>
      <c r="CT198" s="294" t="s">
        <v>395</v>
      </c>
      <c r="CU198" s="301">
        <v>3215000</v>
      </c>
      <c r="DB198">
        <f t="shared" si="114"/>
        <v>28</v>
      </c>
      <c r="DC198" s="595" t="s">
        <v>983</v>
      </c>
      <c r="DD198" s="595" t="s">
        <v>984</v>
      </c>
      <c r="DE198" s="595" t="s">
        <v>690</v>
      </c>
      <c r="DF198" s="286">
        <v>16055</v>
      </c>
      <c r="DG198" s="286">
        <v>1577036</v>
      </c>
      <c r="DH198" s="286">
        <v>60596124</v>
      </c>
      <c r="DI198" s="286">
        <v>32109975</v>
      </c>
      <c r="DJ198">
        <v>20</v>
      </c>
      <c r="DK198" s="643">
        <f t="shared" si="115"/>
        <v>878.59703070032845</v>
      </c>
      <c r="DL198" s="408">
        <f t="shared" si="116"/>
        <v>1385579146.9075232</v>
      </c>
      <c r="DM198" s="286"/>
      <c r="DN198" s="286"/>
      <c r="FH198">
        <v>32</v>
      </c>
      <c r="FI198" t="s">
        <v>867</v>
      </c>
      <c r="FJ198" t="s">
        <v>868</v>
      </c>
      <c r="FK198" t="s">
        <v>690</v>
      </c>
      <c r="FL198" s="286">
        <v>65308</v>
      </c>
      <c r="FM198" s="286">
        <v>6149424</v>
      </c>
      <c r="FN198" s="286">
        <v>355605504</v>
      </c>
      <c r="FO198" s="286">
        <v>191005446</v>
      </c>
      <c r="FP198">
        <v>13</v>
      </c>
      <c r="FQ198" s="925">
        <v>106.2931379319991</v>
      </c>
      <c r="FR198" s="926">
        <v>653641573.4343456</v>
      </c>
      <c r="FS198">
        <v>0</v>
      </c>
    </row>
    <row r="199" spans="1:175">
      <c r="A199">
        <v>2015</v>
      </c>
      <c r="B199">
        <v>3740</v>
      </c>
      <c r="C199" t="s">
        <v>244</v>
      </c>
      <c r="D199" t="s">
        <v>245</v>
      </c>
      <c r="E199" s="203">
        <v>98</v>
      </c>
      <c r="F199" s="203" t="s">
        <v>251</v>
      </c>
      <c r="G199" s="203" t="s">
        <v>247</v>
      </c>
      <c r="H199" s="204" t="s">
        <v>249</v>
      </c>
      <c r="I199" s="202">
        <v>0</v>
      </c>
      <c r="J199" s="202">
        <v>0</v>
      </c>
      <c r="K199" s="202">
        <v>0</v>
      </c>
      <c r="L199" s="253"/>
      <c r="BX199" s="623"/>
      <c r="BY199" t="s">
        <v>1303</v>
      </c>
      <c r="BZ199" t="s">
        <v>1304</v>
      </c>
      <c r="CA199">
        <v>1</v>
      </c>
      <c r="CB199">
        <v>1</v>
      </c>
      <c r="CC199" t="s">
        <v>700</v>
      </c>
      <c r="CD199" s="286">
        <v>3600</v>
      </c>
      <c r="CE199" s="296">
        <v>42240</v>
      </c>
      <c r="CF199" s="261">
        <v>3018137</v>
      </c>
      <c r="CG199" s="261">
        <v>2367348</v>
      </c>
      <c r="CH199" s="202">
        <v>30</v>
      </c>
      <c r="CI199" s="261">
        <f t="shared" si="117"/>
        <v>9355.1503509553058</v>
      </c>
      <c r="CJ199" s="261">
        <f t="shared" si="118"/>
        <v>395161550.82435215</v>
      </c>
      <c r="CL199">
        <v>38960</v>
      </c>
      <c r="CM199" s="299">
        <v>2019</v>
      </c>
      <c r="CN199" s="299">
        <v>1550</v>
      </c>
      <c r="CO199" s="300" t="s">
        <v>258</v>
      </c>
      <c r="CP199" s="299">
        <v>755</v>
      </c>
      <c r="CQ199" s="299">
        <v>40</v>
      </c>
      <c r="CR199" s="294" t="s">
        <v>385</v>
      </c>
      <c r="CS199" s="294" t="s">
        <v>404</v>
      </c>
      <c r="CT199" s="294" t="s">
        <v>396</v>
      </c>
      <c r="CU199" s="301">
        <v>2811000</v>
      </c>
      <c r="DB199">
        <f t="shared" si="114"/>
        <v>28</v>
      </c>
      <c r="DC199" s="595" t="s">
        <v>983</v>
      </c>
      <c r="DD199" s="595" t="s">
        <v>984</v>
      </c>
      <c r="DE199" s="595" t="s">
        <v>695</v>
      </c>
      <c r="DF199" s="286">
        <v>5844</v>
      </c>
      <c r="DG199" s="286">
        <v>570531.99999999988</v>
      </c>
      <c r="DH199" s="286">
        <v>25620701</v>
      </c>
      <c r="DI199" s="286">
        <v>12647304</v>
      </c>
      <c r="DJ199">
        <v>20</v>
      </c>
      <c r="DK199" s="643">
        <f t="shared" si="115"/>
        <v>878.59703070032845</v>
      </c>
      <c r="DL199" s="408">
        <f t="shared" si="116"/>
        <v>501267721.11951971</v>
      </c>
      <c r="DM199" s="286"/>
      <c r="DN199" s="286"/>
      <c r="FH199">
        <v>32</v>
      </c>
      <c r="FI199" t="s">
        <v>1009</v>
      </c>
      <c r="FJ199" t="s">
        <v>1010</v>
      </c>
      <c r="FK199" t="s">
        <v>690</v>
      </c>
      <c r="FL199" s="286">
        <v>67412</v>
      </c>
      <c r="FM199" s="286">
        <v>6596240</v>
      </c>
      <c r="FN199" s="286">
        <v>272388496.00000006</v>
      </c>
      <c r="FO199" s="286">
        <v>135790008</v>
      </c>
      <c r="FP199">
        <v>13</v>
      </c>
      <c r="FQ199" s="925">
        <v>106.2931379319991</v>
      </c>
      <c r="FR199" s="926">
        <v>701135048.15256977</v>
      </c>
      <c r="FS199">
        <v>0</v>
      </c>
    </row>
    <row r="200" spans="1:175">
      <c r="A200">
        <v>2015</v>
      </c>
      <c r="B200">
        <v>3680</v>
      </c>
      <c r="C200" t="s">
        <v>252</v>
      </c>
      <c r="D200" t="s">
        <v>245</v>
      </c>
      <c r="E200" s="203">
        <v>91</v>
      </c>
      <c r="F200" s="203" t="s">
        <v>246</v>
      </c>
      <c r="G200" s="203" t="s">
        <v>247</v>
      </c>
      <c r="H200" s="203" t="s">
        <v>248</v>
      </c>
      <c r="I200" s="202">
        <v>22</v>
      </c>
      <c r="J200" s="202">
        <v>4323</v>
      </c>
      <c r="K200" s="202">
        <v>38113000</v>
      </c>
      <c r="L200" s="253"/>
      <c r="BX200" s="623"/>
      <c r="BY200" t="s">
        <v>1305</v>
      </c>
      <c r="BZ200" t="s">
        <v>1306</v>
      </c>
      <c r="CA200">
        <v>1</v>
      </c>
      <c r="CB200">
        <v>1</v>
      </c>
      <c r="CC200" t="s">
        <v>700</v>
      </c>
      <c r="CD200" s="286">
        <v>2080</v>
      </c>
      <c r="CE200" s="296">
        <v>27680</v>
      </c>
      <c r="CF200" s="261">
        <v>2419233</v>
      </c>
      <c r="CG200" s="261">
        <v>1576528</v>
      </c>
      <c r="CH200" s="202">
        <v>30</v>
      </c>
      <c r="CI200" s="261">
        <f t="shared" si="117"/>
        <v>9355.1503509553058</v>
      </c>
      <c r="CJ200" s="261">
        <f t="shared" si="118"/>
        <v>258950561.71444288</v>
      </c>
      <c r="CL200">
        <v>20440</v>
      </c>
      <c r="CM200" s="299">
        <v>2019</v>
      </c>
      <c r="CN200" s="299">
        <v>1550</v>
      </c>
      <c r="CO200" s="300" t="s">
        <v>258</v>
      </c>
      <c r="CP200" s="299">
        <v>755</v>
      </c>
      <c r="CQ200" s="299">
        <v>41</v>
      </c>
      <c r="CR200" s="294" t="s">
        <v>385</v>
      </c>
      <c r="CS200" s="294" t="s">
        <v>404</v>
      </c>
      <c r="CT200" s="294" t="s">
        <v>397</v>
      </c>
      <c r="CU200" s="301">
        <v>17399000</v>
      </c>
      <c r="DB200">
        <f t="shared" si="114"/>
        <v>28</v>
      </c>
      <c r="DC200" s="595" t="s">
        <v>1152</v>
      </c>
      <c r="DD200" s="595" t="s">
        <v>1153</v>
      </c>
      <c r="DE200" s="595" t="s">
        <v>695</v>
      </c>
      <c r="DF200" s="286">
        <v>1860</v>
      </c>
      <c r="DG200" s="286">
        <v>183308</v>
      </c>
      <c r="DH200" s="286">
        <v>7912948</v>
      </c>
      <c r="DI200" s="286">
        <v>3827279.9999999995</v>
      </c>
      <c r="DJ200">
        <v>20</v>
      </c>
      <c r="DK200" s="643">
        <f t="shared" si="115"/>
        <v>878.59703070032845</v>
      </c>
      <c r="DL200" s="408">
        <f t="shared" si="116"/>
        <v>161053864.5036158</v>
      </c>
      <c r="DM200" s="286"/>
      <c r="DN200" s="286"/>
      <c r="FH200">
        <v>10</v>
      </c>
      <c r="FI200" t="s">
        <v>915</v>
      </c>
      <c r="FJ200" t="s">
        <v>916</v>
      </c>
      <c r="FK200" t="s">
        <v>690</v>
      </c>
      <c r="FL200" s="286">
        <v>12956</v>
      </c>
      <c r="FM200" s="286">
        <v>1285728</v>
      </c>
      <c r="FN200" s="286">
        <v>50036972</v>
      </c>
      <c r="FO200" s="286">
        <v>22389301</v>
      </c>
      <c r="FP200">
        <v>14</v>
      </c>
      <c r="FQ200" s="925">
        <v>216.04092317551496</v>
      </c>
      <c r="FR200" s="926">
        <v>277769864.07260853</v>
      </c>
      <c r="FS200">
        <v>0</v>
      </c>
    </row>
    <row r="201" spans="1:175">
      <c r="A201">
        <v>2015</v>
      </c>
      <c r="B201">
        <v>3680</v>
      </c>
      <c r="C201" t="s">
        <v>252</v>
      </c>
      <c r="D201" t="s">
        <v>245</v>
      </c>
      <c r="E201" s="203">
        <v>92</v>
      </c>
      <c r="F201" s="203" t="s">
        <v>246</v>
      </c>
      <c r="G201" s="203" t="s">
        <v>247</v>
      </c>
      <c r="H201" s="204" t="s">
        <v>249</v>
      </c>
      <c r="I201" s="202">
        <v>0</v>
      </c>
      <c r="J201" s="202">
        <v>0</v>
      </c>
      <c r="K201" s="202">
        <v>0</v>
      </c>
      <c r="L201" s="253"/>
      <c r="BX201" s="623"/>
      <c r="BY201" t="s">
        <v>1307</v>
      </c>
      <c r="BZ201" t="s">
        <v>1308</v>
      </c>
      <c r="CA201">
        <v>1</v>
      </c>
      <c r="CB201">
        <v>1</v>
      </c>
      <c r="CC201" t="s">
        <v>700</v>
      </c>
      <c r="CD201" s="286">
        <v>320</v>
      </c>
      <c r="CE201" s="296">
        <v>4680</v>
      </c>
      <c r="CF201" s="261">
        <v>374747</v>
      </c>
      <c r="CG201" s="261">
        <v>293490</v>
      </c>
      <c r="CH201" s="202">
        <v>30</v>
      </c>
      <c r="CI201" s="261">
        <f t="shared" si="117"/>
        <v>9355.1503509553058</v>
      </c>
      <c r="CJ201" s="261">
        <f t="shared" si="118"/>
        <v>43782103.642470829</v>
      </c>
      <c r="CL201">
        <v>1410960</v>
      </c>
      <c r="CM201" s="299">
        <v>2019</v>
      </c>
      <c r="CN201" s="299">
        <v>1550</v>
      </c>
      <c r="CO201" s="300" t="s">
        <v>258</v>
      </c>
      <c r="CP201" s="299">
        <v>755</v>
      </c>
      <c r="CQ201" s="299">
        <v>42</v>
      </c>
      <c r="CR201" s="294" t="s">
        <v>385</v>
      </c>
      <c r="CS201" s="294" t="s">
        <v>404</v>
      </c>
      <c r="CT201" s="294" t="s">
        <v>398</v>
      </c>
      <c r="CU201" s="301">
        <v>24710000</v>
      </c>
      <c r="DB201">
        <f t="shared" si="114"/>
        <v>28</v>
      </c>
      <c r="DC201" s="595" t="s">
        <v>1154</v>
      </c>
      <c r="DD201" s="595" t="s">
        <v>1155</v>
      </c>
      <c r="DE201" s="595" t="s">
        <v>695</v>
      </c>
      <c r="DF201" s="286">
        <v>76996</v>
      </c>
      <c r="DG201" s="286">
        <v>7550739</v>
      </c>
      <c r="DH201" s="286">
        <v>228482115</v>
      </c>
      <c r="DI201" s="286">
        <v>101238307</v>
      </c>
      <c r="DJ201">
        <v>20</v>
      </c>
      <c r="DK201" s="643">
        <f t="shared" si="115"/>
        <v>878.59703070032845</v>
      </c>
      <c r="DL201" s="408">
        <f t="shared" si="116"/>
        <v>6634056864.9931669</v>
      </c>
      <c r="DM201" s="286"/>
      <c r="DN201" s="286"/>
      <c r="FH201">
        <v>10</v>
      </c>
      <c r="FI201" t="s">
        <v>917</v>
      </c>
      <c r="FJ201" t="s">
        <v>918</v>
      </c>
      <c r="FK201" t="s">
        <v>690</v>
      </c>
      <c r="FL201" s="286">
        <v>9112</v>
      </c>
      <c r="FM201" s="286">
        <v>922152</v>
      </c>
      <c r="FN201" s="286">
        <v>11238040</v>
      </c>
      <c r="FO201" s="286">
        <v>3528263</v>
      </c>
      <c r="FP201">
        <v>14</v>
      </c>
      <c r="FQ201" s="925">
        <v>216.04092317551496</v>
      </c>
      <c r="FR201" s="926">
        <v>199222569.38814747</v>
      </c>
      <c r="FS201">
        <v>0</v>
      </c>
    </row>
    <row r="202" spans="1:175">
      <c r="A202">
        <v>2015</v>
      </c>
      <c r="B202">
        <v>3680</v>
      </c>
      <c r="C202" t="s">
        <v>252</v>
      </c>
      <c r="D202" t="s">
        <v>245</v>
      </c>
      <c r="E202" s="203">
        <v>93</v>
      </c>
      <c r="F202" s="203" t="s">
        <v>250</v>
      </c>
      <c r="G202" s="203" t="s">
        <v>247</v>
      </c>
      <c r="H202" s="203" t="s">
        <v>248</v>
      </c>
      <c r="I202" s="202">
        <v>0</v>
      </c>
      <c r="J202" s="202">
        <v>0</v>
      </c>
      <c r="K202" s="202">
        <v>0</v>
      </c>
      <c r="L202" s="253"/>
      <c r="BX202" s="623"/>
      <c r="BY202" t="s">
        <v>1309</v>
      </c>
      <c r="BZ202" t="s">
        <v>1310</v>
      </c>
      <c r="CA202">
        <v>1</v>
      </c>
      <c r="CB202">
        <v>1</v>
      </c>
      <c r="CC202" t="s">
        <v>700</v>
      </c>
      <c r="CD202" s="286">
        <v>7440</v>
      </c>
      <c r="CE202" s="296">
        <v>94760</v>
      </c>
      <c r="CF202" s="261">
        <v>7902971</v>
      </c>
      <c r="CG202" s="261">
        <v>5986737</v>
      </c>
      <c r="CH202" s="202">
        <v>30</v>
      </c>
      <c r="CI202" s="261">
        <f t="shared" si="117"/>
        <v>9355.1503509553058</v>
      </c>
      <c r="CJ202" s="261">
        <f t="shared" si="118"/>
        <v>886494047.2565248</v>
      </c>
      <c r="CL202">
        <v>126440</v>
      </c>
      <c r="CM202" s="299">
        <v>2019</v>
      </c>
      <c r="CN202" s="299">
        <v>1550</v>
      </c>
      <c r="CO202" s="300" t="s">
        <v>258</v>
      </c>
      <c r="CP202" s="299">
        <v>755</v>
      </c>
      <c r="CQ202" s="299">
        <v>43</v>
      </c>
      <c r="CR202" s="294" t="s">
        <v>385</v>
      </c>
      <c r="CS202" s="294" t="s">
        <v>404</v>
      </c>
      <c r="CT202" s="294" t="s">
        <v>399</v>
      </c>
      <c r="CU202" s="301">
        <v>152000</v>
      </c>
      <c r="DB202">
        <f t="shared" si="114"/>
        <v>28</v>
      </c>
      <c r="DC202" s="595" t="s">
        <v>985</v>
      </c>
      <c r="DD202" s="595" t="s">
        <v>986</v>
      </c>
      <c r="DE202" s="595" t="s">
        <v>690</v>
      </c>
      <c r="DF202" s="286">
        <v>640</v>
      </c>
      <c r="DG202" s="286">
        <v>57320</v>
      </c>
      <c r="DH202" s="286">
        <v>4298000</v>
      </c>
      <c r="DI202" s="286">
        <v>1063557</v>
      </c>
      <c r="DJ202">
        <v>20</v>
      </c>
      <c r="DK202" s="643">
        <f t="shared" si="115"/>
        <v>878.59703070032845</v>
      </c>
      <c r="DL202" s="408">
        <f t="shared" si="116"/>
        <v>50361181.799742825</v>
      </c>
      <c r="DM202" s="286"/>
      <c r="DN202" s="286"/>
      <c r="FH202">
        <v>29</v>
      </c>
      <c r="FI202" t="s">
        <v>997</v>
      </c>
      <c r="FJ202" t="s">
        <v>998</v>
      </c>
      <c r="FK202" t="s">
        <v>690</v>
      </c>
      <c r="FL202" s="286">
        <v>21520</v>
      </c>
      <c r="FM202" s="286">
        <v>2068216</v>
      </c>
      <c r="FN202" s="286">
        <v>78958362</v>
      </c>
      <c r="FO202" s="286">
        <v>36376531</v>
      </c>
      <c r="FP202">
        <v>19</v>
      </c>
      <c r="FQ202" s="925">
        <v>318.85396595091396</v>
      </c>
      <c r="FR202" s="926">
        <v>659458874.04313552</v>
      </c>
      <c r="FS202">
        <v>0</v>
      </c>
    </row>
    <row r="203" spans="1:175">
      <c r="A203">
        <v>2015</v>
      </c>
      <c r="B203">
        <v>3680</v>
      </c>
      <c r="C203" t="s">
        <v>252</v>
      </c>
      <c r="D203" t="s">
        <v>245</v>
      </c>
      <c r="E203" s="203">
        <v>94</v>
      </c>
      <c r="F203" s="203" t="s">
        <v>250</v>
      </c>
      <c r="G203" s="203" t="s">
        <v>247</v>
      </c>
      <c r="H203" s="203" t="s">
        <v>249</v>
      </c>
      <c r="I203" s="202">
        <v>0</v>
      </c>
      <c r="J203" s="202">
        <v>0</v>
      </c>
      <c r="K203" s="202">
        <v>0</v>
      </c>
      <c r="L203" s="253"/>
      <c r="BX203" s="623"/>
      <c r="BY203" t="s">
        <v>1311</v>
      </c>
      <c r="BZ203" t="s">
        <v>1312</v>
      </c>
      <c r="CA203">
        <v>1</v>
      </c>
      <c r="CB203">
        <v>1</v>
      </c>
      <c r="CC203" t="s">
        <v>700</v>
      </c>
      <c r="CD203" s="286">
        <v>25880</v>
      </c>
      <c r="CE203" s="296">
        <v>321200</v>
      </c>
      <c r="CF203" s="261">
        <v>45616480</v>
      </c>
      <c r="CG203" s="261">
        <v>25284672</v>
      </c>
      <c r="CH203" s="202">
        <v>30</v>
      </c>
      <c r="CI203" s="261">
        <f t="shared" si="117"/>
        <v>9355.1503509553058</v>
      </c>
      <c r="CJ203" s="261">
        <f t="shared" si="118"/>
        <v>3004874292.7268443</v>
      </c>
      <c r="CL203">
        <v>9320</v>
      </c>
      <c r="CM203" s="299">
        <v>2019</v>
      </c>
      <c r="CN203" s="299">
        <v>1550</v>
      </c>
      <c r="CO203" s="300" t="s">
        <v>258</v>
      </c>
      <c r="CP203" s="299">
        <v>755</v>
      </c>
      <c r="CQ203" s="299">
        <v>44</v>
      </c>
      <c r="CR203" s="294" t="s">
        <v>385</v>
      </c>
      <c r="CS203" s="294" t="s">
        <v>404</v>
      </c>
      <c r="CT203" s="294" t="s">
        <v>400</v>
      </c>
      <c r="CU203" s="301">
        <v>28404000</v>
      </c>
      <c r="DB203">
        <f t="shared" si="114"/>
        <v>28</v>
      </c>
      <c r="DC203" s="595" t="s">
        <v>985</v>
      </c>
      <c r="DD203" s="595" t="s">
        <v>986</v>
      </c>
      <c r="DE203" s="595" t="s">
        <v>695</v>
      </c>
      <c r="DF203" s="286">
        <v>51396</v>
      </c>
      <c r="DG203" s="286">
        <v>4954912</v>
      </c>
      <c r="DH203" s="286">
        <v>240568781</v>
      </c>
      <c r="DI203" s="286">
        <v>102275727</v>
      </c>
      <c r="DJ203">
        <v>20</v>
      </c>
      <c r="DK203" s="643">
        <f t="shared" si="115"/>
        <v>878.59703070032845</v>
      </c>
      <c r="DL203" s="408">
        <f t="shared" si="116"/>
        <v>4353370970.5814257</v>
      </c>
      <c r="DM203" s="286"/>
      <c r="DN203" s="286"/>
      <c r="FH203">
        <v>28</v>
      </c>
      <c r="FI203" t="s">
        <v>851</v>
      </c>
      <c r="FJ203" t="s">
        <v>852</v>
      </c>
      <c r="FK203" t="s">
        <v>690</v>
      </c>
      <c r="FL203" s="286">
        <v>2280</v>
      </c>
      <c r="FM203" s="286">
        <v>212920</v>
      </c>
      <c r="FN203" s="286">
        <v>8044603</v>
      </c>
      <c r="FO203" s="286">
        <v>2967066</v>
      </c>
      <c r="FP203">
        <v>20</v>
      </c>
      <c r="FQ203" s="925">
        <v>878.59703070032845</v>
      </c>
      <c r="FR203" s="926">
        <v>187070879.77671394</v>
      </c>
      <c r="FS203">
        <v>0</v>
      </c>
    </row>
    <row r="204" spans="1:175">
      <c r="A204">
        <v>2015</v>
      </c>
      <c r="B204">
        <v>3680</v>
      </c>
      <c r="C204" t="s">
        <v>252</v>
      </c>
      <c r="D204" t="s">
        <v>245</v>
      </c>
      <c r="E204" s="203">
        <v>97</v>
      </c>
      <c r="F204" s="203" t="s">
        <v>251</v>
      </c>
      <c r="G204" s="203" t="s">
        <v>247</v>
      </c>
      <c r="H204" s="203" t="s">
        <v>248</v>
      </c>
      <c r="I204" s="202">
        <v>0</v>
      </c>
      <c r="J204" s="202">
        <v>0</v>
      </c>
      <c r="K204" s="202">
        <v>0</v>
      </c>
      <c r="L204" s="253"/>
      <c r="BX204" s="623"/>
      <c r="BY204" t="s">
        <v>1313</v>
      </c>
      <c r="BZ204" t="s">
        <v>1314</v>
      </c>
      <c r="CA204">
        <v>1</v>
      </c>
      <c r="CB204">
        <v>1</v>
      </c>
      <c r="CC204" t="s">
        <v>700</v>
      </c>
      <c r="CD204" s="286">
        <v>52240</v>
      </c>
      <c r="CE204" s="296">
        <v>710200</v>
      </c>
      <c r="CF204" s="261">
        <v>58371360</v>
      </c>
      <c r="CG204" s="261">
        <v>44442631</v>
      </c>
      <c r="CH204" s="202">
        <v>30</v>
      </c>
      <c r="CI204" s="261">
        <f t="shared" si="117"/>
        <v>9355.1503509553058</v>
      </c>
      <c r="CJ204" s="261">
        <f t="shared" si="118"/>
        <v>6644027779.2484579</v>
      </c>
      <c r="CL204">
        <v>1559720</v>
      </c>
      <c r="CM204" s="299">
        <v>2019</v>
      </c>
      <c r="CN204" s="299">
        <v>1550</v>
      </c>
      <c r="CO204" s="300" t="s">
        <v>258</v>
      </c>
      <c r="CP204" s="299">
        <v>755</v>
      </c>
      <c r="CQ204" s="299">
        <v>45</v>
      </c>
      <c r="CR204" s="294" t="s">
        <v>385</v>
      </c>
      <c r="CS204" s="294" t="s">
        <v>405</v>
      </c>
      <c r="CT204" s="294" t="s">
        <v>402</v>
      </c>
      <c r="CU204" s="301">
        <v>221000</v>
      </c>
      <c r="DB204">
        <f t="shared" si="114"/>
        <v>28</v>
      </c>
      <c r="DC204" s="595" t="s">
        <v>1156</v>
      </c>
      <c r="DD204" s="595" t="s">
        <v>1157</v>
      </c>
      <c r="DE204" s="595" t="s">
        <v>695</v>
      </c>
      <c r="DF204" s="286">
        <v>7648</v>
      </c>
      <c r="DG204" s="286">
        <v>750124</v>
      </c>
      <c r="DH204" s="286">
        <v>31903944</v>
      </c>
      <c r="DI204" s="286">
        <v>14049337</v>
      </c>
      <c r="DJ204">
        <v>20</v>
      </c>
      <c r="DK204" s="643">
        <f t="shared" si="115"/>
        <v>878.59703070032845</v>
      </c>
      <c r="DL204" s="408">
        <f t="shared" si="116"/>
        <v>659056719.05705321</v>
      </c>
      <c r="DM204" s="286"/>
      <c r="DN204" s="286"/>
      <c r="FH204">
        <v>28</v>
      </c>
      <c r="FI204" t="s">
        <v>975</v>
      </c>
      <c r="FJ204" t="s">
        <v>976</v>
      </c>
      <c r="FK204" t="s">
        <v>690</v>
      </c>
      <c r="FL204" s="286">
        <v>2760</v>
      </c>
      <c r="FM204" s="286">
        <v>256600.00000000003</v>
      </c>
      <c r="FN204" s="286">
        <v>12954920</v>
      </c>
      <c r="FO204" s="286">
        <v>4204611</v>
      </c>
      <c r="FP204">
        <v>20</v>
      </c>
      <c r="FQ204" s="925">
        <v>878.59703070032845</v>
      </c>
      <c r="FR204" s="926">
        <v>225447998.07770431</v>
      </c>
      <c r="FS204">
        <v>0</v>
      </c>
    </row>
    <row r="205" spans="1:175">
      <c r="A205">
        <v>2015</v>
      </c>
      <c r="B205">
        <v>3680</v>
      </c>
      <c r="C205" t="s">
        <v>252</v>
      </c>
      <c r="D205" t="s">
        <v>245</v>
      </c>
      <c r="E205" s="203">
        <v>98</v>
      </c>
      <c r="F205" s="203" t="s">
        <v>251</v>
      </c>
      <c r="G205" s="203" t="s">
        <v>247</v>
      </c>
      <c r="H205" s="204" t="s">
        <v>249</v>
      </c>
      <c r="I205" s="202">
        <v>0</v>
      </c>
      <c r="J205" s="202">
        <v>0</v>
      </c>
      <c r="K205" s="202">
        <v>0</v>
      </c>
      <c r="L205" s="253"/>
      <c r="BX205" s="623"/>
      <c r="BY205" t="s">
        <v>1315</v>
      </c>
      <c r="BZ205" t="s">
        <v>1316</v>
      </c>
      <c r="CA205">
        <v>1</v>
      </c>
      <c r="CB205">
        <v>1</v>
      </c>
      <c r="CC205" t="s">
        <v>700</v>
      </c>
      <c r="CD205" s="286">
        <v>8720</v>
      </c>
      <c r="CE205" s="296">
        <v>81240</v>
      </c>
      <c r="CF205" s="261">
        <v>11084040</v>
      </c>
      <c r="CG205" s="261">
        <v>6797195</v>
      </c>
      <c r="CH205" s="202">
        <v>30</v>
      </c>
      <c r="CI205" s="261">
        <f t="shared" si="117"/>
        <v>9355.1503509553058</v>
      </c>
      <c r="CJ205" s="261">
        <f t="shared" si="118"/>
        <v>760012414.51160908</v>
      </c>
      <c r="CL205">
        <v>16640</v>
      </c>
      <c r="CM205" s="299">
        <v>2019</v>
      </c>
      <c r="CN205" s="299">
        <v>1550</v>
      </c>
      <c r="CO205" s="300" t="s">
        <v>258</v>
      </c>
      <c r="CP205" s="299">
        <v>755</v>
      </c>
      <c r="CQ205" s="299">
        <v>46</v>
      </c>
      <c r="CR205" s="294" t="s">
        <v>385</v>
      </c>
      <c r="CS205" s="294" t="s">
        <v>405</v>
      </c>
      <c r="CT205" s="294" t="s">
        <v>406</v>
      </c>
      <c r="CU205" s="301">
        <v>533373000</v>
      </c>
      <c r="DB205">
        <f t="shared" si="114"/>
        <v>28</v>
      </c>
      <c r="DC205" s="595" t="s">
        <v>1158</v>
      </c>
      <c r="DD205" s="595" t="s">
        <v>1159</v>
      </c>
      <c r="DE205" s="595" t="s">
        <v>695</v>
      </c>
      <c r="DF205" s="286">
        <v>840</v>
      </c>
      <c r="DG205" s="286">
        <v>80480</v>
      </c>
      <c r="DH205" s="286">
        <v>3550520</v>
      </c>
      <c r="DI205" s="286">
        <v>1201537</v>
      </c>
      <c r="DJ205">
        <v>20</v>
      </c>
      <c r="DK205" s="643">
        <f t="shared" si="115"/>
        <v>878.59703070032845</v>
      </c>
      <c r="DL205" s="408">
        <f t="shared" si="116"/>
        <v>70709489.030762434</v>
      </c>
      <c r="DM205" s="286"/>
      <c r="DN205" s="286"/>
      <c r="FH205">
        <v>28</v>
      </c>
      <c r="FI205" t="s">
        <v>977</v>
      </c>
      <c r="FJ205" t="s">
        <v>978</v>
      </c>
      <c r="FK205" t="s">
        <v>690</v>
      </c>
      <c r="FL205" s="286">
        <v>45761</v>
      </c>
      <c r="FM205" s="286">
        <v>4487696</v>
      </c>
      <c r="FN205" s="286">
        <v>162302925</v>
      </c>
      <c r="FO205" s="286">
        <v>94312298.000000015</v>
      </c>
      <c r="FP205">
        <v>20</v>
      </c>
      <c r="FQ205" s="925">
        <v>878.59703070032845</v>
      </c>
      <c r="FR205" s="926">
        <v>3942876380.2857413</v>
      </c>
      <c r="FS205">
        <v>0</v>
      </c>
    </row>
    <row r="206" spans="1:175">
      <c r="A206">
        <v>2015</v>
      </c>
      <c r="B206">
        <v>3410</v>
      </c>
      <c r="C206" t="s">
        <v>253</v>
      </c>
      <c r="D206" t="s">
        <v>245</v>
      </c>
      <c r="E206" s="203">
        <v>91</v>
      </c>
      <c r="F206" s="203" t="s">
        <v>246</v>
      </c>
      <c r="G206" s="203" t="s">
        <v>247</v>
      </c>
      <c r="H206" s="203" t="s">
        <v>248</v>
      </c>
      <c r="I206" s="202">
        <v>0</v>
      </c>
      <c r="J206" s="202">
        <v>0</v>
      </c>
      <c r="K206" s="202">
        <v>0</v>
      </c>
      <c r="L206" s="253"/>
      <c r="BX206" s="623"/>
      <c r="BY206" t="s">
        <v>1214</v>
      </c>
      <c r="BZ206" t="s">
        <v>1215</v>
      </c>
      <c r="CA206">
        <v>1</v>
      </c>
      <c r="CB206">
        <v>1</v>
      </c>
      <c r="CC206" t="s">
        <v>699</v>
      </c>
      <c r="CD206" s="286">
        <v>680</v>
      </c>
      <c r="CE206" s="296">
        <v>12440</v>
      </c>
      <c r="CF206" s="261">
        <v>888080</v>
      </c>
      <c r="CG206" s="261">
        <v>574031</v>
      </c>
      <c r="CH206" s="202">
        <v>30</v>
      </c>
      <c r="CI206" s="261">
        <f t="shared" si="117"/>
        <v>9355.1503509553058</v>
      </c>
      <c r="CJ206" s="261">
        <f t="shared" si="118"/>
        <v>116378070.36588401</v>
      </c>
      <c r="CL206">
        <v>42240</v>
      </c>
      <c r="CM206" s="299">
        <v>2019</v>
      </c>
      <c r="CN206" s="299">
        <v>1550</v>
      </c>
      <c r="CO206" s="300" t="s">
        <v>258</v>
      </c>
      <c r="CP206" s="299">
        <v>755</v>
      </c>
      <c r="CQ206" s="299">
        <v>47</v>
      </c>
      <c r="CR206" s="294" t="s">
        <v>385</v>
      </c>
      <c r="CS206" s="294" t="s">
        <v>407</v>
      </c>
      <c r="CT206" s="294" t="s">
        <v>387</v>
      </c>
      <c r="CU206" s="301">
        <v>0</v>
      </c>
      <c r="DB206">
        <f t="shared" si="114"/>
        <v>28</v>
      </c>
      <c r="DC206" s="595" t="s">
        <v>1160</v>
      </c>
      <c r="DD206" s="595" t="s">
        <v>1161</v>
      </c>
      <c r="DE206" s="595" t="s">
        <v>695</v>
      </c>
      <c r="DF206" s="286">
        <v>24104</v>
      </c>
      <c r="DG206" s="286">
        <v>1851660</v>
      </c>
      <c r="DH206" s="286">
        <v>158262020</v>
      </c>
      <c r="DI206" s="286">
        <v>33892878</v>
      </c>
      <c r="DJ206">
        <v>20</v>
      </c>
      <c r="DK206" s="643">
        <f t="shared" si="115"/>
        <v>878.59703070032845</v>
      </c>
      <c r="DL206" s="408">
        <f t="shared" si="116"/>
        <v>1626862977.8665702</v>
      </c>
      <c r="DM206" s="286"/>
      <c r="DN206" s="286"/>
      <c r="FH206">
        <v>28</v>
      </c>
      <c r="FI206" t="s">
        <v>979</v>
      </c>
      <c r="FJ206" t="s">
        <v>980</v>
      </c>
      <c r="FK206" t="s">
        <v>690</v>
      </c>
      <c r="FL206" s="286">
        <v>984</v>
      </c>
      <c r="FM206" s="286">
        <v>86340</v>
      </c>
      <c r="FN206" s="286">
        <v>5674236</v>
      </c>
      <c r="FO206" s="286">
        <v>1798354</v>
      </c>
      <c r="FP206">
        <v>20</v>
      </c>
      <c r="FQ206" s="925">
        <v>878.59703070032845</v>
      </c>
      <c r="FR206" s="926">
        <v>75858067.63066636</v>
      </c>
      <c r="FS206">
        <v>0</v>
      </c>
    </row>
    <row r="207" spans="1:175">
      <c r="A207">
        <v>2015</v>
      </c>
      <c r="B207">
        <v>3410</v>
      </c>
      <c r="C207" t="s">
        <v>253</v>
      </c>
      <c r="D207" t="s">
        <v>245</v>
      </c>
      <c r="E207" s="203">
        <v>92</v>
      </c>
      <c r="F207" s="203" t="s">
        <v>246</v>
      </c>
      <c r="G207" s="203" t="s">
        <v>247</v>
      </c>
      <c r="H207" s="204" t="s">
        <v>249</v>
      </c>
      <c r="I207" s="202">
        <v>0</v>
      </c>
      <c r="J207" s="202">
        <v>0</v>
      </c>
      <c r="K207" s="202">
        <v>0</v>
      </c>
      <c r="L207" s="253"/>
      <c r="BX207" s="623"/>
      <c r="BY207" t="s">
        <v>1214</v>
      </c>
      <c r="BZ207" t="s">
        <v>1215</v>
      </c>
      <c r="CA207">
        <v>1</v>
      </c>
      <c r="CB207">
        <v>1</v>
      </c>
      <c r="CC207" t="s">
        <v>700</v>
      </c>
      <c r="CD207" s="286">
        <v>383520</v>
      </c>
      <c r="CE207" s="296">
        <v>4619600</v>
      </c>
      <c r="CF207" s="261">
        <v>403968500</v>
      </c>
      <c r="CG207" s="261">
        <v>268130460</v>
      </c>
      <c r="CH207" s="202">
        <v>30</v>
      </c>
      <c r="CI207" s="261">
        <f t="shared" si="117"/>
        <v>9355.1503509553058</v>
      </c>
      <c r="CJ207" s="261">
        <f t="shared" si="118"/>
        <v>43217052561.273132</v>
      </c>
      <c r="CL207">
        <v>27680</v>
      </c>
      <c r="CM207" s="299">
        <v>2019</v>
      </c>
      <c r="CN207" s="299">
        <v>1550</v>
      </c>
      <c r="CO207" s="300" t="s">
        <v>258</v>
      </c>
      <c r="CP207" s="299">
        <v>755</v>
      </c>
      <c r="CQ207" s="299">
        <v>48</v>
      </c>
      <c r="CR207" s="294" t="s">
        <v>385</v>
      </c>
      <c r="CS207" s="294" t="s">
        <v>407</v>
      </c>
      <c r="CT207" s="294" t="s">
        <v>388</v>
      </c>
      <c r="CU207" s="301">
        <v>7931000</v>
      </c>
      <c r="DB207">
        <f t="shared" si="114"/>
        <v>28</v>
      </c>
      <c r="DC207" s="595" t="s">
        <v>987</v>
      </c>
      <c r="DD207" s="595" t="s">
        <v>988</v>
      </c>
      <c r="DE207" s="595" t="s">
        <v>690</v>
      </c>
      <c r="DF207" s="286">
        <v>16503</v>
      </c>
      <c r="DG207" s="286">
        <v>1569217.9999999998</v>
      </c>
      <c r="DH207" s="286">
        <v>63664507</v>
      </c>
      <c r="DI207" s="286">
        <v>28339897.999999996</v>
      </c>
      <c r="DJ207">
        <v>20</v>
      </c>
      <c r="DK207" s="643">
        <f t="shared" si="115"/>
        <v>878.59703070032845</v>
      </c>
      <c r="DL207" s="408">
        <f t="shared" si="116"/>
        <v>1378710275.3215077</v>
      </c>
      <c r="DM207" s="286"/>
      <c r="DN207" s="286"/>
      <c r="FH207">
        <v>28</v>
      </c>
      <c r="FI207" t="s">
        <v>981</v>
      </c>
      <c r="FJ207" t="s">
        <v>982</v>
      </c>
      <c r="FK207" t="s">
        <v>690</v>
      </c>
      <c r="FL207" s="286">
        <v>27176</v>
      </c>
      <c r="FM207" s="286">
        <v>2877772</v>
      </c>
      <c r="FN207" s="286">
        <v>126578127.00000001</v>
      </c>
      <c r="FO207" s="286">
        <v>42613988.000000007</v>
      </c>
      <c r="FP207">
        <v>20</v>
      </c>
      <c r="FQ207" s="925">
        <v>878.59703070032845</v>
      </c>
      <c r="FR207" s="926">
        <v>2528401934.2325454</v>
      </c>
      <c r="FS207">
        <v>0</v>
      </c>
    </row>
    <row r="208" spans="1:175">
      <c r="A208">
        <v>2015</v>
      </c>
      <c r="B208">
        <v>3410</v>
      </c>
      <c r="C208" t="s">
        <v>253</v>
      </c>
      <c r="D208" t="s">
        <v>245</v>
      </c>
      <c r="E208" s="203">
        <v>93</v>
      </c>
      <c r="F208" s="203" t="s">
        <v>250</v>
      </c>
      <c r="G208" s="203" t="s">
        <v>247</v>
      </c>
      <c r="H208" s="203" t="s">
        <v>248</v>
      </c>
      <c r="I208" s="202">
        <v>1180</v>
      </c>
      <c r="J208" s="202">
        <v>43353</v>
      </c>
      <c r="K208" s="202">
        <v>104360000</v>
      </c>
      <c r="L208" s="253"/>
      <c r="BX208" s="623"/>
      <c r="BY208" t="s">
        <v>1317</v>
      </c>
      <c r="BZ208" t="s">
        <v>1318</v>
      </c>
      <c r="CA208">
        <v>1</v>
      </c>
      <c r="CB208">
        <v>1</v>
      </c>
      <c r="CC208" t="s">
        <v>700</v>
      </c>
      <c r="CD208" s="286">
        <v>1520</v>
      </c>
      <c r="CE208" s="296">
        <v>27560</v>
      </c>
      <c r="CF208" s="261">
        <v>1531360</v>
      </c>
      <c r="CG208" s="261">
        <v>1303142</v>
      </c>
      <c r="CH208" s="202">
        <v>25</v>
      </c>
      <c r="CI208" s="261">
        <f t="shared" si="117"/>
        <v>56.161989688324894</v>
      </c>
      <c r="CJ208" s="261">
        <f t="shared" si="118"/>
        <v>1547824.4358102342</v>
      </c>
      <c r="CL208">
        <v>4680</v>
      </c>
      <c r="CM208" s="299">
        <v>2019</v>
      </c>
      <c r="CN208" s="299">
        <v>1550</v>
      </c>
      <c r="CO208" s="300" t="s">
        <v>258</v>
      </c>
      <c r="CP208" s="299">
        <v>755</v>
      </c>
      <c r="CQ208" s="299">
        <v>49</v>
      </c>
      <c r="CR208" s="294" t="s">
        <v>385</v>
      </c>
      <c r="CS208" s="294" t="s">
        <v>407</v>
      </c>
      <c r="CT208" s="294" t="s">
        <v>389</v>
      </c>
      <c r="CU208" s="301">
        <v>50976000</v>
      </c>
      <c r="DB208">
        <f t="shared" si="114"/>
        <v>28</v>
      </c>
      <c r="DC208" s="595" t="s">
        <v>987</v>
      </c>
      <c r="DD208" s="595" t="s">
        <v>988</v>
      </c>
      <c r="DE208" s="595" t="s">
        <v>695</v>
      </c>
      <c r="DF208" s="286">
        <v>13060</v>
      </c>
      <c r="DG208" s="286">
        <v>1201956.0000000002</v>
      </c>
      <c r="DH208" s="286">
        <v>69190576</v>
      </c>
      <c r="DI208" s="286">
        <v>23257967</v>
      </c>
      <c r="DJ208">
        <v>20</v>
      </c>
      <c r="DK208" s="643">
        <f t="shared" si="115"/>
        <v>878.59703070032845</v>
      </c>
      <c r="DL208" s="408">
        <f t="shared" si="116"/>
        <v>1056034972.6324441</v>
      </c>
      <c r="DM208" s="286"/>
      <c r="DN208" s="286"/>
      <c r="FH208">
        <v>28</v>
      </c>
      <c r="FI208" t="s">
        <v>983</v>
      </c>
      <c r="FJ208" t="s">
        <v>984</v>
      </c>
      <c r="FK208" t="s">
        <v>690</v>
      </c>
      <c r="FL208" s="286">
        <v>16055</v>
      </c>
      <c r="FM208" s="286">
        <v>1577036</v>
      </c>
      <c r="FN208" s="286">
        <v>60596124</v>
      </c>
      <c r="FO208" s="286">
        <v>32109975</v>
      </c>
      <c r="FP208">
        <v>20</v>
      </c>
      <c r="FQ208" s="925">
        <v>878.59703070032845</v>
      </c>
      <c r="FR208" s="926">
        <v>1385579146.9075232</v>
      </c>
      <c r="FS208">
        <v>0</v>
      </c>
    </row>
    <row r="209" spans="1:175">
      <c r="A209">
        <v>2015</v>
      </c>
      <c r="B209">
        <v>3410</v>
      </c>
      <c r="C209" t="s">
        <v>253</v>
      </c>
      <c r="D209" t="s">
        <v>245</v>
      </c>
      <c r="E209" s="203">
        <v>94</v>
      </c>
      <c r="F209" s="203" t="s">
        <v>250</v>
      </c>
      <c r="G209" s="203" t="s">
        <v>247</v>
      </c>
      <c r="H209" s="204" t="s">
        <v>249</v>
      </c>
      <c r="I209" s="202">
        <v>0</v>
      </c>
      <c r="J209" s="202">
        <v>0</v>
      </c>
      <c r="K209" s="202">
        <v>0</v>
      </c>
      <c r="L209" s="253"/>
      <c r="BX209" s="623"/>
      <c r="BY209" t="s">
        <v>1045</v>
      </c>
      <c r="BZ209" t="s">
        <v>1046</v>
      </c>
      <c r="CA209">
        <v>1</v>
      </c>
      <c r="CB209">
        <v>1</v>
      </c>
      <c r="CC209" t="s">
        <v>700</v>
      </c>
      <c r="CD209" s="286">
        <v>11960</v>
      </c>
      <c r="CE209" s="296">
        <v>207560</v>
      </c>
      <c r="CF209" s="261">
        <v>11931606</v>
      </c>
      <c r="CG209" s="261">
        <v>10087335</v>
      </c>
      <c r="CH209" s="202">
        <v>26</v>
      </c>
      <c r="CI209" s="261">
        <f t="shared" si="117"/>
        <v>528.3954317970871</v>
      </c>
      <c r="CJ209" s="261">
        <f t="shared" si="118"/>
        <v>109673755.8238034</v>
      </c>
      <c r="CL209">
        <v>94760</v>
      </c>
      <c r="CM209" s="299">
        <v>2019</v>
      </c>
      <c r="CN209" s="299">
        <v>1550</v>
      </c>
      <c r="CO209" s="300" t="s">
        <v>258</v>
      </c>
      <c r="CP209" s="299">
        <v>755</v>
      </c>
      <c r="CQ209" s="299">
        <v>50</v>
      </c>
      <c r="CR209" s="294" t="s">
        <v>385</v>
      </c>
      <c r="CS209" s="294" t="s">
        <v>407</v>
      </c>
      <c r="CT209" s="294" t="s">
        <v>390</v>
      </c>
      <c r="CU209" s="301">
        <v>61972000</v>
      </c>
      <c r="DB209">
        <f t="shared" si="114"/>
        <v>28</v>
      </c>
      <c r="DC209" s="595" t="s">
        <v>989</v>
      </c>
      <c r="DD209" s="595" t="s">
        <v>990</v>
      </c>
      <c r="DE209" s="595" t="s">
        <v>690</v>
      </c>
      <c r="DF209" s="286">
        <v>737768</v>
      </c>
      <c r="DG209" s="286">
        <v>70510531.999999985</v>
      </c>
      <c r="DH209" s="286">
        <v>2353945678</v>
      </c>
      <c r="DI209" s="286">
        <v>1192822259</v>
      </c>
      <c r="DJ209">
        <v>24</v>
      </c>
      <c r="DK209" s="643">
        <f t="shared" si="115"/>
        <v>2791.0393486833841</v>
      </c>
      <c r="DL209" s="408">
        <f t="shared" si="116"/>
        <v>196797669308.59888</v>
      </c>
      <c r="DM209" s="286"/>
      <c r="DN209" s="286"/>
      <c r="FH209">
        <v>28</v>
      </c>
      <c r="FI209" t="s">
        <v>985</v>
      </c>
      <c r="FJ209" t="s">
        <v>986</v>
      </c>
      <c r="FK209" t="s">
        <v>690</v>
      </c>
      <c r="FL209" s="286">
        <v>640</v>
      </c>
      <c r="FM209" s="286">
        <v>57320</v>
      </c>
      <c r="FN209" s="286">
        <v>4298000</v>
      </c>
      <c r="FO209" s="286">
        <v>1063557</v>
      </c>
      <c r="FP209">
        <v>20</v>
      </c>
      <c r="FQ209" s="925">
        <v>878.59703070032845</v>
      </c>
      <c r="FR209" s="926">
        <v>50361181.799742825</v>
      </c>
      <c r="FS209">
        <v>0</v>
      </c>
    </row>
    <row r="210" spans="1:175">
      <c r="A210">
        <v>2015</v>
      </c>
      <c r="B210">
        <v>3410</v>
      </c>
      <c r="C210" t="s">
        <v>253</v>
      </c>
      <c r="D210" t="s">
        <v>245</v>
      </c>
      <c r="E210" s="203">
        <v>97</v>
      </c>
      <c r="F210" s="203" t="s">
        <v>251</v>
      </c>
      <c r="G210" s="203" t="s">
        <v>247</v>
      </c>
      <c r="H210" s="203" t="s">
        <v>248</v>
      </c>
      <c r="I210" s="202">
        <v>0</v>
      </c>
      <c r="J210" s="202">
        <v>0</v>
      </c>
      <c r="K210" s="202">
        <v>0</v>
      </c>
      <c r="L210" s="253"/>
      <c r="BX210" s="623"/>
      <c r="BY210" t="s">
        <v>1319</v>
      </c>
      <c r="BZ210" t="s">
        <v>1320</v>
      </c>
      <c r="CA210">
        <v>1</v>
      </c>
      <c r="CB210">
        <v>1</v>
      </c>
      <c r="CC210" t="s">
        <v>700</v>
      </c>
      <c r="CD210" s="286">
        <v>9680</v>
      </c>
      <c r="CE210" s="296">
        <v>100240</v>
      </c>
      <c r="CF210" s="261">
        <v>11791520</v>
      </c>
      <c r="CG210" s="261">
        <v>6937676</v>
      </c>
      <c r="CH210" s="202">
        <v>26</v>
      </c>
      <c r="CI210" s="261">
        <f t="shared" si="117"/>
        <v>528.3954317970871</v>
      </c>
      <c r="CJ210" s="261">
        <f t="shared" si="118"/>
        <v>52966358.083340012</v>
      </c>
      <c r="CL210">
        <v>321200</v>
      </c>
      <c r="CM210" s="299">
        <v>2019</v>
      </c>
      <c r="CN210" s="299">
        <v>1550</v>
      </c>
      <c r="CO210" s="300" t="s">
        <v>258</v>
      </c>
      <c r="CP210" s="299">
        <v>755</v>
      </c>
      <c r="CQ210" s="299">
        <v>51</v>
      </c>
      <c r="CR210" s="294" t="s">
        <v>385</v>
      </c>
      <c r="CS210" s="294" t="s">
        <v>407</v>
      </c>
      <c r="CT210" s="294" t="s">
        <v>391</v>
      </c>
      <c r="CU210" s="301">
        <v>14329000</v>
      </c>
      <c r="DB210">
        <f t="shared" si="114"/>
        <v>28</v>
      </c>
      <c r="DC210" s="595" t="s">
        <v>989</v>
      </c>
      <c r="DD210" s="595" t="s">
        <v>990</v>
      </c>
      <c r="DE210" s="595" t="s">
        <v>695</v>
      </c>
      <c r="DF210" s="286">
        <v>8600</v>
      </c>
      <c r="DG210" s="286">
        <v>718640</v>
      </c>
      <c r="DH210" s="286">
        <v>44487962.999999993</v>
      </c>
      <c r="DI210" s="286">
        <v>16773553</v>
      </c>
      <c r="DJ210">
        <v>24</v>
      </c>
      <c r="DK210" s="643">
        <f t="shared" si="115"/>
        <v>2791.0393486833841</v>
      </c>
      <c r="DL210" s="408">
        <f t="shared" si="116"/>
        <v>2005752517.5378273</v>
      </c>
      <c r="DM210" s="286"/>
      <c r="DN210" s="286"/>
      <c r="FH210">
        <v>28</v>
      </c>
      <c r="FI210" t="s">
        <v>987</v>
      </c>
      <c r="FJ210" t="s">
        <v>988</v>
      </c>
      <c r="FK210" t="s">
        <v>690</v>
      </c>
      <c r="FL210" s="286">
        <v>16503</v>
      </c>
      <c r="FM210" s="286">
        <v>1569217.9999999998</v>
      </c>
      <c r="FN210" s="286">
        <v>63664507</v>
      </c>
      <c r="FO210" s="286">
        <v>28339897.999999996</v>
      </c>
      <c r="FP210">
        <v>20</v>
      </c>
      <c r="FQ210" s="925">
        <v>878.59703070032845</v>
      </c>
      <c r="FR210" s="926">
        <v>1378710275.3215077</v>
      </c>
      <c r="FS210">
        <v>0</v>
      </c>
    </row>
    <row r="211" spans="1:175">
      <c r="A211">
        <v>2015</v>
      </c>
      <c r="B211">
        <v>3410</v>
      </c>
      <c r="C211" t="s">
        <v>253</v>
      </c>
      <c r="D211" t="s">
        <v>245</v>
      </c>
      <c r="E211" s="203">
        <v>98</v>
      </c>
      <c r="F211" s="203" t="s">
        <v>251</v>
      </c>
      <c r="G211" s="203" t="s">
        <v>247</v>
      </c>
      <c r="H211" s="204" t="s">
        <v>249</v>
      </c>
      <c r="I211" s="202">
        <v>0</v>
      </c>
      <c r="J211" s="202">
        <v>0</v>
      </c>
      <c r="K211" s="202">
        <v>0</v>
      </c>
      <c r="L211" s="253"/>
      <c r="BX211" s="623"/>
      <c r="BY211" t="s">
        <v>1321</v>
      </c>
      <c r="BZ211" t="s">
        <v>1322</v>
      </c>
      <c r="CA211">
        <v>1</v>
      </c>
      <c r="CB211">
        <v>1</v>
      </c>
      <c r="CC211" t="s">
        <v>700</v>
      </c>
      <c r="CD211" s="286">
        <v>3680</v>
      </c>
      <c r="CE211" s="296">
        <v>64480</v>
      </c>
      <c r="CF211" s="261">
        <v>3967339</v>
      </c>
      <c r="CG211" s="261">
        <v>2742238</v>
      </c>
      <c r="CH211" s="202">
        <v>26</v>
      </c>
      <c r="CI211" s="261">
        <f t="shared" si="117"/>
        <v>528.3954317970871</v>
      </c>
      <c r="CJ211" s="261">
        <f t="shared" si="118"/>
        <v>34070937.44227618</v>
      </c>
      <c r="CL211">
        <v>710200</v>
      </c>
      <c r="CM211" s="299">
        <v>2019</v>
      </c>
      <c r="CN211" s="299">
        <v>1550</v>
      </c>
      <c r="CO211" s="300" t="s">
        <v>258</v>
      </c>
      <c r="CP211" s="299">
        <v>755</v>
      </c>
      <c r="CQ211" s="299">
        <v>52</v>
      </c>
      <c r="CR211" s="294" t="s">
        <v>385</v>
      </c>
      <c r="CS211" s="294" t="s">
        <v>407</v>
      </c>
      <c r="CT211" s="294" t="s">
        <v>392</v>
      </c>
      <c r="CU211" s="301">
        <v>350430000</v>
      </c>
      <c r="DB211">
        <f t="shared" si="114"/>
        <v>28</v>
      </c>
      <c r="DC211" s="595" t="s">
        <v>853</v>
      </c>
      <c r="DD211" s="595" t="s">
        <v>854</v>
      </c>
      <c r="DE211" s="595" t="s">
        <v>687</v>
      </c>
      <c r="DF211" s="286">
        <v>600</v>
      </c>
      <c r="DG211" s="286">
        <v>52840</v>
      </c>
      <c r="DH211" s="286">
        <v>4012040</v>
      </c>
      <c r="DI211" s="286">
        <v>1729982</v>
      </c>
      <c r="DJ211">
        <v>24</v>
      </c>
      <c r="DK211" s="643">
        <f t="shared" si="115"/>
        <v>2791.0393486833841</v>
      </c>
      <c r="DL211" s="408">
        <f t="shared" si="116"/>
        <v>147478519.18443</v>
      </c>
      <c r="DM211" s="286"/>
      <c r="DN211" s="286"/>
      <c r="FH211">
        <v>28</v>
      </c>
      <c r="FI211" t="s">
        <v>995</v>
      </c>
      <c r="FJ211" t="s">
        <v>996</v>
      </c>
      <c r="FK211" t="s">
        <v>690</v>
      </c>
      <c r="FL211" s="286">
        <v>18520</v>
      </c>
      <c r="FM211" s="286">
        <v>1091040</v>
      </c>
      <c r="FN211" s="286">
        <v>90937792.999999985</v>
      </c>
      <c r="FO211" s="286">
        <v>30279818</v>
      </c>
      <c r="FP211">
        <v>20</v>
      </c>
      <c r="FQ211" s="925">
        <v>878.59703070032845</v>
      </c>
      <c r="FR211" s="926">
        <v>958584504.37528634</v>
      </c>
      <c r="FS211">
        <v>0</v>
      </c>
    </row>
    <row r="212" spans="1:175">
      <c r="A212">
        <v>2015</v>
      </c>
      <c r="B212">
        <v>3050</v>
      </c>
      <c r="C212" t="s">
        <v>254</v>
      </c>
      <c r="D212" t="s">
        <v>245</v>
      </c>
      <c r="E212" s="203">
        <v>91</v>
      </c>
      <c r="F212" s="203" t="s">
        <v>246</v>
      </c>
      <c r="G212" s="203" t="s">
        <v>247</v>
      </c>
      <c r="H212" s="203" t="s">
        <v>248</v>
      </c>
      <c r="I212" s="202">
        <v>326</v>
      </c>
      <c r="J212" s="202">
        <v>69645</v>
      </c>
      <c r="K212" s="202">
        <v>760841000</v>
      </c>
      <c r="L212" s="253"/>
      <c r="BX212" s="623"/>
      <c r="BY212" t="s">
        <v>1323</v>
      </c>
      <c r="BZ212" t="s">
        <v>1324</v>
      </c>
      <c r="CA212">
        <v>1</v>
      </c>
      <c r="CB212">
        <v>1</v>
      </c>
      <c r="CC212" t="s">
        <v>700</v>
      </c>
      <c r="CD212" s="286">
        <v>1960</v>
      </c>
      <c r="CE212" s="296">
        <v>31680</v>
      </c>
      <c r="CF212" s="261">
        <v>1991806</v>
      </c>
      <c r="CG212" s="261">
        <v>1756627</v>
      </c>
      <c r="CH212" s="202">
        <v>26</v>
      </c>
      <c r="CI212" s="261">
        <f t="shared" si="117"/>
        <v>528.3954317970871</v>
      </c>
      <c r="CJ212" s="261">
        <f t="shared" si="118"/>
        <v>16739567.27933172</v>
      </c>
      <c r="CL212">
        <v>81240</v>
      </c>
      <c r="CM212" s="299">
        <v>2019</v>
      </c>
      <c r="CN212" s="299">
        <v>1550</v>
      </c>
      <c r="CO212" s="300" t="s">
        <v>258</v>
      </c>
      <c r="CP212" s="299">
        <v>755</v>
      </c>
      <c r="CQ212" s="299">
        <v>53</v>
      </c>
      <c r="CR212" s="294" t="s">
        <v>385</v>
      </c>
      <c r="CS212" s="294" t="s">
        <v>407</v>
      </c>
      <c r="CT212" s="294" t="s">
        <v>393</v>
      </c>
      <c r="CU212" s="301">
        <v>22192000</v>
      </c>
      <c r="DB212">
        <f t="shared" si="114"/>
        <v>28</v>
      </c>
      <c r="DC212" s="595" t="s">
        <v>853</v>
      </c>
      <c r="DD212" s="595" t="s">
        <v>854</v>
      </c>
      <c r="DE212" s="595" t="s">
        <v>695</v>
      </c>
      <c r="DF212" s="286">
        <v>8800</v>
      </c>
      <c r="DG212" s="286">
        <v>746839.99999999988</v>
      </c>
      <c r="DH212" s="286">
        <v>38611915</v>
      </c>
      <c r="DI212" s="286">
        <v>16918657</v>
      </c>
      <c r="DJ212">
        <v>24</v>
      </c>
      <c r="DK212" s="643">
        <f t="shared" si="115"/>
        <v>2791.0393486833841</v>
      </c>
      <c r="DL212" s="408">
        <f t="shared" si="116"/>
        <v>2084459827.1706982</v>
      </c>
      <c r="DM212" s="286"/>
      <c r="DN212" s="286"/>
      <c r="FH212">
        <v>28</v>
      </c>
      <c r="FI212" t="s">
        <v>991</v>
      </c>
      <c r="FJ212" t="s">
        <v>992</v>
      </c>
      <c r="FK212" t="s">
        <v>690</v>
      </c>
      <c r="FL212" s="286">
        <v>76082</v>
      </c>
      <c r="FM212" s="286">
        <v>7615938.9999999991</v>
      </c>
      <c r="FN212" s="286">
        <v>356626734.00000006</v>
      </c>
      <c r="FO212" s="286">
        <v>214583285</v>
      </c>
      <c r="FP212">
        <v>22</v>
      </c>
      <c r="FQ212" s="925">
        <v>348.03770724419365</v>
      </c>
      <c r="FR212" s="926">
        <v>2650633948.0716367</v>
      </c>
      <c r="FS212">
        <v>0</v>
      </c>
    </row>
    <row r="213" spans="1:175">
      <c r="A213">
        <v>2015</v>
      </c>
      <c r="B213">
        <v>3050</v>
      </c>
      <c r="C213" t="s">
        <v>254</v>
      </c>
      <c r="D213" t="s">
        <v>245</v>
      </c>
      <c r="E213" s="203">
        <v>92</v>
      </c>
      <c r="F213" s="203" t="s">
        <v>246</v>
      </c>
      <c r="G213" s="203" t="s">
        <v>247</v>
      </c>
      <c r="H213" s="204" t="s">
        <v>249</v>
      </c>
      <c r="I213" s="202">
        <v>0</v>
      </c>
      <c r="J213" s="202">
        <v>0</v>
      </c>
      <c r="K213" s="202">
        <v>0</v>
      </c>
      <c r="L213" s="253"/>
      <c r="BX213" s="623"/>
      <c r="BY213" t="s">
        <v>1325</v>
      </c>
      <c r="BZ213" t="s">
        <v>1326</v>
      </c>
      <c r="CA213">
        <v>1</v>
      </c>
      <c r="CB213">
        <v>1</v>
      </c>
      <c r="CC213" t="s">
        <v>700</v>
      </c>
      <c r="CD213" s="286">
        <v>1720</v>
      </c>
      <c r="CE213" s="296">
        <v>25920</v>
      </c>
      <c r="CF213" s="261">
        <v>2030194</v>
      </c>
      <c r="CG213" s="261">
        <v>1412498</v>
      </c>
      <c r="CH213" s="202">
        <v>26</v>
      </c>
      <c r="CI213" s="261">
        <f t="shared" si="117"/>
        <v>528.3954317970871</v>
      </c>
      <c r="CJ213" s="261">
        <f t="shared" si="118"/>
        <v>13696009.592180498</v>
      </c>
      <c r="CL213">
        <v>4619600</v>
      </c>
      <c r="CM213" s="299">
        <v>2019</v>
      </c>
      <c r="CN213" s="299">
        <v>1550</v>
      </c>
      <c r="CO213" s="300" t="s">
        <v>258</v>
      </c>
      <c r="CP213" s="299">
        <v>755</v>
      </c>
      <c r="CQ213" s="299">
        <v>54</v>
      </c>
      <c r="CR213" s="294" t="s">
        <v>385</v>
      </c>
      <c r="CS213" s="294" t="s">
        <v>407</v>
      </c>
      <c r="CT213" s="294" t="s">
        <v>394</v>
      </c>
      <c r="CU213" s="301">
        <v>99075000</v>
      </c>
      <c r="DB213">
        <f t="shared" si="114"/>
        <v>28</v>
      </c>
      <c r="DC213" s="595" t="s">
        <v>1162</v>
      </c>
      <c r="DD213" s="595" t="s">
        <v>1163</v>
      </c>
      <c r="DE213" s="595" t="s">
        <v>695</v>
      </c>
      <c r="DF213" s="286">
        <v>1200</v>
      </c>
      <c r="DG213" s="286">
        <v>105520</v>
      </c>
      <c r="DH213" s="286">
        <v>7030346</v>
      </c>
      <c r="DI213" s="286">
        <v>2542467</v>
      </c>
      <c r="DJ213">
        <v>23</v>
      </c>
      <c r="DK213" s="643">
        <f t="shared" si="115"/>
        <v>3119.4415649807693</v>
      </c>
      <c r="DL213" s="408">
        <f t="shared" si="116"/>
        <v>329163473.9367708</v>
      </c>
      <c r="DM213" s="286"/>
      <c r="DN213" s="286"/>
      <c r="FH213">
        <v>28</v>
      </c>
      <c r="FI213" t="s">
        <v>993</v>
      </c>
      <c r="FJ213" t="s">
        <v>994</v>
      </c>
      <c r="FK213" t="s">
        <v>690</v>
      </c>
      <c r="FL213" s="286">
        <v>400</v>
      </c>
      <c r="FM213" s="286">
        <v>39668</v>
      </c>
      <c r="FN213" s="286">
        <v>1563066</v>
      </c>
      <c r="FO213" s="286">
        <v>699714</v>
      </c>
      <c r="FP213">
        <v>22</v>
      </c>
      <c r="FQ213" s="925">
        <v>348.03770724419365</v>
      </c>
      <c r="FR213" s="926">
        <v>13805959.770962674</v>
      </c>
      <c r="FS213">
        <v>0</v>
      </c>
    </row>
    <row r="214" spans="1:175">
      <c r="A214">
        <v>2015</v>
      </c>
      <c r="B214">
        <v>3050</v>
      </c>
      <c r="C214" t="s">
        <v>254</v>
      </c>
      <c r="D214" t="s">
        <v>245</v>
      </c>
      <c r="E214" s="203">
        <v>93</v>
      </c>
      <c r="F214" s="203" t="s">
        <v>250</v>
      </c>
      <c r="G214" s="203" t="s">
        <v>247</v>
      </c>
      <c r="H214" s="203" t="s">
        <v>248</v>
      </c>
      <c r="I214" s="202">
        <v>921</v>
      </c>
      <c r="J214" s="202">
        <v>28534</v>
      </c>
      <c r="K214" s="202">
        <v>85965000</v>
      </c>
      <c r="L214" s="253"/>
      <c r="BX214" s="623"/>
      <c r="BY214" t="s">
        <v>1327</v>
      </c>
      <c r="BZ214" t="s">
        <v>1328</v>
      </c>
      <c r="CA214">
        <v>1</v>
      </c>
      <c r="CB214">
        <v>1</v>
      </c>
      <c r="CC214" t="s">
        <v>700</v>
      </c>
      <c r="CD214" s="286">
        <v>840</v>
      </c>
      <c r="CE214" s="296">
        <v>15400</v>
      </c>
      <c r="CF214" s="261">
        <v>1217995</v>
      </c>
      <c r="CG214" s="261">
        <v>866506</v>
      </c>
      <c r="CH214" s="202">
        <v>26</v>
      </c>
      <c r="CI214" s="261">
        <f t="shared" si="117"/>
        <v>528.3954317970871</v>
      </c>
      <c r="CJ214" s="261">
        <f t="shared" si="118"/>
        <v>8137289.6496751411</v>
      </c>
      <c r="CL214">
        <v>27560</v>
      </c>
      <c r="CM214" s="299">
        <v>2019</v>
      </c>
      <c r="CN214" s="299">
        <v>1550</v>
      </c>
      <c r="CO214" s="300" t="s">
        <v>258</v>
      </c>
      <c r="CP214" s="299">
        <v>755</v>
      </c>
      <c r="CQ214" s="299">
        <v>55</v>
      </c>
      <c r="CR214" s="294" t="s">
        <v>385</v>
      </c>
      <c r="CS214" s="294" t="s">
        <v>407</v>
      </c>
      <c r="CT214" s="294" t="s">
        <v>395</v>
      </c>
      <c r="CU214" s="301">
        <v>2274000</v>
      </c>
      <c r="DB214">
        <f t="shared" si="114"/>
        <v>28</v>
      </c>
      <c r="DC214" s="595" t="s">
        <v>1164</v>
      </c>
      <c r="DD214" s="595" t="s">
        <v>1165</v>
      </c>
      <c r="DE214" s="595" t="s">
        <v>695</v>
      </c>
      <c r="DF214" s="286">
        <v>7860</v>
      </c>
      <c r="DG214" s="286">
        <v>678496</v>
      </c>
      <c r="DH214" s="286">
        <v>31825078</v>
      </c>
      <c r="DI214" s="286">
        <v>14941127</v>
      </c>
      <c r="DJ214">
        <v>23</v>
      </c>
      <c r="DK214" s="643">
        <f t="shared" si="115"/>
        <v>3119.4415649807693</v>
      </c>
      <c r="DL214" s="408">
        <f t="shared" si="116"/>
        <v>2116528624.0731921</v>
      </c>
      <c r="DM214" s="286"/>
      <c r="DN214" s="286"/>
      <c r="FH214">
        <v>28</v>
      </c>
      <c r="FI214" t="s">
        <v>989</v>
      </c>
      <c r="FJ214" t="s">
        <v>990</v>
      </c>
      <c r="FK214" t="s">
        <v>690</v>
      </c>
      <c r="FL214" s="286">
        <v>737768</v>
      </c>
      <c r="FM214" s="286">
        <v>70510531.999999985</v>
      </c>
      <c r="FN214" s="286">
        <v>2353945678</v>
      </c>
      <c r="FO214" s="286">
        <v>1192822259</v>
      </c>
      <c r="FP214">
        <v>24</v>
      </c>
      <c r="FQ214" s="925">
        <v>2791.0393486833841</v>
      </c>
      <c r="FR214" s="926">
        <v>196797669308.59888</v>
      </c>
      <c r="FS214">
        <v>0</v>
      </c>
    </row>
    <row r="215" spans="1:175">
      <c r="A215">
        <v>2015</v>
      </c>
      <c r="B215">
        <v>3050</v>
      </c>
      <c r="C215" t="s">
        <v>254</v>
      </c>
      <c r="D215" t="s">
        <v>245</v>
      </c>
      <c r="E215" s="203">
        <v>94</v>
      </c>
      <c r="F215" s="203" t="s">
        <v>250</v>
      </c>
      <c r="G215" s="203" t="s">
        <v>247</v>
      </c>
      <c r="H215" s="204" t="s">
        <v>249</v>
      </c>
      <c r="I215" s="202">
        <v>0</v>
      </c>
      <c r="J215" s="202">
        <v>0</v>
      </c>
      <c r="K215" s="202">
        <v>0</v>
      </c>
      <c r="L215" s="253"/>
      <c r="BX215" s="623"/>
      <c r="BY215" t="s">
        <v>834</v>
      </c>
      <c r="BZ215" t="s">
        <v>835</v>
      </c>
      <c r="CA215">
        <v>1</v>
      </c>
      <c r="CB215">
        <v>1</v>
      </c>
      <c r="CC215" t="s">
        <v>700</v>
      </c>
      <c r="CD215" s="286">
        <v>3120</v>
      </c>
      <c r="CE215" s="296">
        <v>60520</v>
      </c>
      <c r="CF215" s="261">
        <v>3592958</v>
      </c>
      <c r="CG215" s="261">
        <v>3136313</v>
      </c>
      <c r="CH215" s="202">
        <v>26</v>
      </c>
      <c r="CI215" s="261">
        <f t="shared" si="117"/>
        <v>528.3954317970871</v>
      </c>
      <c r="CJ215" s="261">
        <f t="shared" si="118"/>
        <v>31978491.532359712</v>
      </c>
      <c r="CL215">
        <v>207560</v>
      </c>
      <c r="CM215" s="299">
        <v>2019</v>
      </c>
      <c r="CN215" s="299">
        <v>1550</v>
      </c>
      <c r="CO215" s="300" t="s">
        <v>258</v>
      </c>
      <c r="CP215" s="299">
        <v>755</v>
      </c>
      <c r="CQ215" s="299">
        <v>56</v>
      </c>
      <c r="CR215" s="294" t="s">
        <v>385</v>
      </c>
      <c r="CS215" s="294" t="s">
        <v>407</v>
      </c>
      <c r="CT215" s="294" t="s">
        <v>396</v>
      </c>
      <c r="CU215" s="301">
        <v>537000</v>
      </c>
      <c r="DB215">
        <f t="shared" si="114"/>
        <v>28</v>
      </c>
      <c r="DC215" s="595" t="s">
        <v>1166</v>
      </c>
      <c r="DD215" s="595" t="s">
        <v>1167</v>
      </c>
      <c r="DE215" s="595" t="s">
        <v>695</v>
      </c>
      <c r="DF215" s="286">
        <v>1360</v>
      </c>
      <c r="DG215" s="286">
        <v>105360</v>
      </c>
      <c r="DH215" s="286">
        <v>7405320</v>
      </c>
      <c r="DI215" s="286">
        <v>2539189</v>
      </c>
      <c r="DJ215">
        <v>23</v>
      </c>
      <c r="DK215" s="643">
        <f t="shared" si="115"/>
        <v>3119.4415649807693</v>
      </c>
      <c r="DL215" s="408">
        <f t="shared" si="116"/>
        <v>328664363.28637385</v>
      </c>
      <c r="DM215" s="286"/>
      <c r="DN215" s="286"/>
      <c r="FH215">
        <v>24</v>
      </c>
      <c r="FI215" t="s">
        <v>969</v>
      </c>
      <c r="FJ215" t="s">
        <v>970</v>
      </c>
      <c r="FK215" t="s">
        <v>690</v>
      </c>
      <c r="FL215" s="286">
        <v>2612</v>
      </c>
      <c r="FM215" s="286">
        <v>271256</v>
      </c>
      <c r="FN215" s="286">
        <v>3578201</v>
      </c>
      <c r="FO215" s="286">
        <v>2824063</v>
      </c>
      <c r="FP215">
        <v>26</v>
      </c>
      <c r="FQ215" s="925">
        <v>528.3954317970871</v>
      </c>
      <c r="FR215" s="926">
        <v>143330431.24755067</v>
      </c>
      <c r="FS215">
        <v>0</v>
      </c>
    </row>
    <row r="216" spans="1:175">
      <c r="A216">
        <v>2015</v>
      </c>
      <c r="B216">
        <v>3050</v>
      </c>
      <c r="C216" t="s">
        <v>254</v>
      </c>
      <c r="D216" t="s">
        <v>245</v>
      </c>
      <c r="E216" s="203">
        <v>97</v>
      </c>
      <c r="F216" s="203" t="s">
        <v>251</v>
      </c>
      <c r="G216" s="203" t="s">
        <v>247</v>
      </c>
      <c r="H216" s="203" t="s">
        <v>248</v>
      </c>
      <c r="I216" s="202">
        <v>0</v>
      </c>
      <c r="J216" s="202">
        <v>0</v>
      </c>
      <c r="K216" s="202">
        <v>0</v>
      </c>
      <c r="L216" s="253"/>
      <c r="BX216" s="623"/>
      <c r="BY216" t="s">
        <v>1329</v>
      </c>
      <c r="BZ216" t="s">
        <v>1330</v>
      </c>
      <c r="CA216">
        <v>1</v>
      </c>
      <c r="CB216">
        <v>1</v>
      </c>
      <c r="CC216" t="s">
        <v>700</v>
      </c>
      <c r="CD216" s="286">
        <v>1760</v>
      </c>
      <c r="CE216" s="296">
        <v>24520</v>
      </c>
      <c r="CF216" s="261">
        <v>1688062</v>
      </c>
      <c r="CG216" s="261">
        <v>1234795</v>
      </c>
      <c r="CH216" s="202">
        <v>26</v>
      </c>
      <c r="CI216" s="261">
        <f t="shared" si="117"/>
        <v>528.3954317970871</v>
      </c>
      <c r="CJ216" s="261">
        <f t="shared" si="118"/>
        <v>12956255.987664575</v>
      </c>
      <c r="CL216">
        <v>100240</v>
      </c>
      <c r="CM216" s="299">
        <v>2019</v>
      </c>
      <c r="CN216" s="299">
        <v>1550</v>
      </c>
      <c r="CO216" s="300" t="s">
        <v>258</v>
      </c>
      <c r="CP216" s="299">
        <v>755</v>
      </c>
      <c r="CQ216" s="299">
        <v>57</v>
      </c>
      <c r="CR216" s="294" t="s">
        <v>385</v>
      </c>
      <c r="CS216" s="294" t="s">
        <v>407</v>
      </c>
      <c r="CT216" s="294" t="s">
        <v>397</v>
      </c>
      <c r="CU216" s="301">
        <v>520079000</v>
      </c>
      <c r="DB216">
        <f t="shared" si="114"/>
        <v>28</v>
      </c>
      <c r="DC216" s="595" t="s">
        <v>1168</v>
      </c>
      <c r="DD216" s="595" t="s">
        <v>1169</v>
      </c>
      <c r="DE216" s="595" t="s">
        <v>695</v>
      </c>
      <c r="DF216" s="286">
        <v>9800</v>
      </c>
      <c r="DG216" s="286">
        <v>872120</v>
      </c>
      <c r="DH216" s="286">
        <v>33644157</v>
      </c>
      <c r="DI216" s="286">
        <v>15458971</v>
      </c>
      <c r="DJ216">
        <v>23</v>
      </c>
      <c r="DK216" s="643">
        <f t="shared" si="115"/>
        <v>3119.4415649807693</v>
      </c>
      <c r="DL216" s="408">
        <f t="shared" si="116"/>
        <v>2720527377.6510286</v>
      </c>
      <c r="DM216" s="286"/>
      <c r="DN216" s="286"/>
      <c r="FH216">
        <v>32</v>
      </c>
      <c r="FI216" t="s">
        <v>999</v>
      </c>
      <c r="FJ216" t="s">
        <v>1000</v>
      </c>
      <c r="FK216" t="s">
        <v>690</v>
      </c>
      <c r="FL216" s="286">
        <v>4720</v>
      </c>
      <c r="FM216" s="286">
        <v>473640</v>
      </c>
      <c r="FN216" s="286">
        <v>18227088</v>
      </c>
      <c r="FO216" s="286">
        <v>10684004</v>
      </c>
      <c r="FP216">
        <v>31</v>
      </c>
      <c r="FQ216" s="925">
        <v>254.37342899264078</v>
      </c>
      <c r="FR216" s="926">
        <v>120481430.90807438</v>
      </c>
      <c r="FS216">
        <v>0</v>
      </c>
    </row>
    <row r="217" spans="1:175">
      <c r="A217">
        <v>2015</v>
      </c>
      <c r="B217">
        <v>3050</v>
      </c>
      <c r="C217" t="s">
        <v>254</v>
      </c>
      <c r="D217" t="s">
        <v>245</v>
      </c>
      <c r="E217" s="203">
        <v>98</v>
      </c>
      <c r="F217" s="203" t="s">
        <v>251</v>
      </c>
      <c r="G217" s="203" t="s">
        <v>247</v>
      </c>
      <c r="H217" s="204" t="s">
        <v>249</v>
      </c>
      <c r="I217" s="202">
        <v>0</v>
      </c>
      <c r="J217" s="202">
        <v>0</v>
      </c>
      <c r="K217" s="202">
        <v>0</v>
      </c>
      <c r="L217" s="253"/>
      <c r="BX217" s="623"/>
      <c r="BY217" t="s">
        <v>1331</v>
      </c>
      <c r="BZ217" t="s">
        <v>1332</v>
      </c>
      <c r="CA217">
        <v>1</v>
      </c>
      <c r="CB217">
        <v>1</v>
      </c>
      <c r="CC217" t="s">
        <v>700</v>
      </c>
      <c r="CD217" s="286">
        <v>2160</v>
      </c>
      <c r="CE217" s="296">
        <v>25160</v>
      </c>
      <c r="CF217" s="261">
        <v>1762520</v>
      </c>
      <c r="CG217" s="261">
        <v>1200121</v>
      </c>
      <c r="CH217" s="202">
        <v>26</v>
      </c>
      <c r="CI217" s="261">
        <f t="shared" si="117"/>
        <v>528.3954317970871</v>
      </c>
      <c r="CJ217" s="261">
        <f t="shared" si="118"/>
        <v>13294429.06401471</v>
      </c>
      <c r="CL217">
        <v>64480</v>
      </c>
      <c r="CM217" s="299">
        <v>2019</v>
      </c>
      <c r="CN217" s="299">
        <v>1550</v>
      </c>
      <c r="CO217" s="300" t="s">
        <v>258</v>
      </c>
      <c r="CP217" s="299">
        <v>755</v>
      </c>
      <c r="CQ217" s="299">
        <v>58</v>
      </c>
      <c r="CR217" s="294" t="s">
        <v>385</v>
      </c>
      <c r="CS217" s="294" t="s">
        <v>407</v>
      </c>
      <c r="CT217" s="294" t="s">
        <v>398</v>
      </c>
      <c r="CU217" s="301">
        <v>173858000</v>
      </c>
      <c r="DB217">
        <f t="shared" si="114"/>
        <v>28</v>
      </c>
      <c r="DC217" s="595" t="s">
        <v>991</v>
      </c>
      <c r="DD217" s="595" t="s">
        <v>992</v>
      </c>
      <c r="DE217" s="595" t="s">
        <v>690</v>
      </c>
      <c r="DF217" s="286">
        <v>76082</v>
      </c>
      <c r="DG217" s="286">
        <v>7615938.9999999991</v>
      </c>
      <c r="DH217" s="286">
        <v>356626734.00000006</v>
      </c>
      <c r="DI217" s="286">
        <v>214583285</v>
      </c>
      <c r="DJ217">
        <v>22</v>
      </c>
      <c r="DK217" s="643">
        <f t="shared" si="115"/>
        <v>348.03770724419365</v>
      </c>
      <c r="DL217" s="408">
        <f t="shared" si="116"/>
        <v>2650633948.0716367</v>
      </c>
      <c r="DM217" s="286"/>
      <c r="DN217" s="286"/>
      <c r="FH217">
        <v>32</v>
      </c>
      <c r="FI217" t="s">
        <v>1001</v>
      </c>
      <c r="FJ217" t="s">
        <v>1002</v>
      </c>
      <c r="FK217" t="s">
        <v>690</v>
      </c>
      <c r="FL217" s="286">
        <v>225964</v>
      </c>
      <c r="FM217" s="286">
        <v>23924101.000000004</v>
      </c>
      <c r="FN217" s="286">
        <v>573243377</v>
      </c>
      <c r="FO217" s="286">
        <v>294483401</v>
      </c>
      <c r="FP217">
        <v>31</v>
      </c>
      <c r="FQ217" s="925">
        <v>254.37342899264078</v>
      </c>
      <c r="FR217" s="926">
        <v>6085655606.9362669</v>
      </c>
      <c r="FS217">
        <v>0</v>
      </c>
    </row>
    <row r="218" spans="1:175">
      <c r="A218">
        <v>2015</v>
      </c>
      <c r="B218">
        <v>1370</v>
      </c>
      <c r="C218" t="s">
        <v>255</v>
      </c>
      <c r="D218" t="s">
        <v>245</v>
      </c>
      <c r="E218" s="203">
        <v>91</v>
      </c>
      <c r="F218" s="203" t="s">
        <v>246</v>
      </c>
      <c r="G218" s="203" t="s">
        <v>247</v>
      </c>
      <c r="H218" s="203" t="s">
        <v>248</v>
      </c>
      <c r="I218" s="202">
        <v>65</v>
      </c>
      <c r="J218" s="202">
        <v>13744</v>
      </c>
      <c r="K218" s="202">
        <v>179141000</v>
      </c>
      <c r="L218" s="253"/>
      <c r="BX218" s="623"/>
      <c r="BY218" t="s">
        <v>1059</v>
      </c>
      <c r="BZ218" t="s">
        <v>1060</v>
      </c>
      <c r="CA218">
        <v>1</v>
      </c>
      <c r="CB218">
        <v>1</v>
      </c>
      <c r="CC218" t="s">
        <v>700</v>
      </c>
      <c r="CD218" s="286">
        <v>12560</v>
      </c>
      <c r="CE218" s="296">
        <v>215840</v>
      </c>
      <c r="CF218" s="261">
        <v>11955600</v>
      </c>
      <c r="CG218" s="261">
        <v>9845856</v>
      </c>
      <c r="CH218" s="202">
        <v>39</v>
      </c>
      <c r="CI218" s="261">
        <f t="shared" si="117"/>
        <v>5387.04129053214</v>
      </c>
      <c r="CJ218" s="261">
        <f t="shared" si="118"/>
        <v>1162738992.1484571</v>
      </c>
      <c r="CL218">
        <v>31680</v>
      </c>
      <c r="CM218" s="299">
        <v>2019</v>
      </c>
      <c r="CN218" s="299">
        <v>1550</v>
      </c>
      <c r="CO218" s="300" t="s">
        <v>258</v>
      </c>
      <c r="CP218" s="299">
        <v>755</v>
      </c>
      <c r="CQ218" s="299">
        <v>59</v>
      </c>
      <c r="CR218" s="294" t="s">
        <v>385</v>
      </c>
      <c r="CS218" s="294" t="s">
        <v>407</v>
      </c>
      <c r="CT218" s="294" t="s">
        <v>399</v>
      </c>
      <c r="CU218" s="301">
        <v>383000</v>
      </c>
      <c r="DB218">
        <f t="shared" si="114"/>
        <v>28</v>
      </c>
      <c r="DC218" s="595" t="s">
        <v>1170</v>
      </c>
      <c r="DD218" s="595" t="s">
        <v>1171</v>
      </c>
      <c r="DE218" s="595" t="s">
        <v>695</v>
      </c>
      <c r="DF218" s="286">
        <v>66607</v>
      </c>
      <c r="DG218" s="286">
        <v>6648357</v>
      </c>
      <c r="DH218" s="286">
        <v>247642066.99999997</v>
      </c>
      <c r="DI218" s="286">
        <v>137010320</v>
      </c>
      <c r="DJ218">
        <v>22</v>
      </c>
      <c r="DK218" s="643">
        <f t="shared" si="115"/>
        <v>348.03770724419365</v>
      </c>
      <c r="DL218" s="408">
        <f t="shared" si="116"/>
        <v>2313878927.2208858</v>
      </c>
      <c r="DM218" s="286"/>
      <c r="DN218" s="286"/>
      <c r="FH218">
        <v>32</v>
      </c>
      <c r="FI218" t="s">
        <v>1003</v>
      </c>
      <c r="FJ218" t="s">
        <v>1004</v>
      </c>
      <c r="FK218" t="s">
        <v>690</v>
      </c>
      <c r="FL218" s="286">
        <v>46716</v>
      </c>
      <c r="FM218" s="286">
        <v>4331160</v>
      </c>
      <c r="FN218" s="286">
        <v>157529580</v>
      </c>
      <c r="FO218" s="286">
        <v>79865695</v>
      </c>
      <c r="FP218">
        <v>31</v>
      </c>
      <c r="FQ218" s="925">
        <v>254.37342899264078</v>
      </c>
      <c r="FR218" s="926">
        <v>1101732020.715766</v>
      </c>
      <c r="FS218">
        <v>0</v>
      </c>
    </row>
    <row r="219" spans="1:175">
      <c r="A219">
        <v>2015</v>
      </c>
      <c r="B219">
        <v>1370</v>
      </c>
      <c r="C219" t="s">
        <v>255</v>
      </c>
      <c r="D219" t="s">
        <v>245</v>
      </c>
      <c r="E219" s="203">
        <v>92</v>
      </c>
      <c r="F219" s="203" t="s">
        <v>246</v>
      </c>
      <c r="G219" s="203" t="s">
        <v>247</v>
      </c>
      <c r="H219" s="204" t="s">
        <v>249</v>
      </c>
      <c r="I219" s="202">
        <v>0</v>
      </c>
      <c r="J219" s="202">
        <v>0</v>
      </c>
      <c r="K219" s="202">
        <v>0</v>
      </c>
      <c r="L219" s="253"/>
      <c r="BX219" s="623"/>
      <c r="BY219" t="s">
        <v>1333</v>
      </c>
      <c r="BZ219" t="s">
        <v>1334</v>
      </c>
      <c r="CA219">
        <v>1</v>
      </c>
      <c r="CB219">
        <v>1</v>
      </c>
      <c r="CC219" t="s">
        <v>700</v>
      </c>
      <c r="CD219" s="286">
        <v>1040</v>
      </c>
      <c r="CE219" s="296">
        <v>14560</v>
      </c>
      <c r="CF219" s="261">
        <v>1045416</v>
      </c>
      <c r="CG219" s="261">
        <v>856434</v>
      </c>
      <c r="CH219" s="202">
        <v>39</v>
      </c>
      <c r="CI219" s="261">
        <f t="shared" si="117"/>
        <v>5387.04129053214</v>
      </c>
      <c r="CJ219" s="261">
        <f t="shared" si="118"/>
        <v>78435321.190147951</v>
      </c>
      <c r="CL219">
        <v>25920</v>
      </c>
      <c r="CM219" s="299">
        <v>2019</v>
      </c>
      <c r="CN219" s="299">
        <v>1550</v>
      </c>
      <c r="CO219" s="300" t="s">
        <v>258</v>
      </c>
      <c r="CP219" s="299">
        <v>755</v>
      </c>
      <c r="CQ219" s="299">
        <v>60</v>
      </c>
      <c r="CR219" s="294" t="s">
        <v>385</v>
      </c>
      <c r="CS219" s="294" t="s">
        <v>407</v>
      </c>
      <c r="CT219" s="294" t="s">
        <v>400</v>
      </c>
      <c r="CU219" s="301">
        <v>28518000</v>
      </c>
      <c r="DB219">
        <f t="shared" si="114"/>
        <v>28</v>
      </c>
      <c r="DC219" s="595" t="s">
        <v>993</v>
      </c>
      <c r="DD219" s="595" t="s">
        <v>994</v>
      </c>
      <c r="DE219" s="595" t="s">
        <v>690</v>
      </c>
      <c r="DF219" s="286">
        <v>400</v>
      </c>
      <c r="DG219" s="286">
        <v>39668</v>
      </c>
      <c r="DH219" s="286">
        <v>1563066</v>
      </c>
      <c r="DI219" s="286">
        <v>699714</v>
      </c>
      <c r="DJ219">
        <v>22</v>
      </c>
      <c r="DK219" s="643">
        <f t="shared" si="115"/>
        <v>348.03770724419365</v>
      </c>
      <c r="DL219" s="408">
        <f t="shared" si="116"/>
        <v>13805959.770962674</v>
      </c>
      <c r="DM219" s="286"/>
      <c r="DN219" s="286"/>
      <c r="FH219">
        <v>32</v>
      </c>
      <c r="FI219" t="s">
        <v>863</v>
      </c>
      <c r="FJ219" t="s">
        <v>864</v>
      </c>
      <c r="FK219" t="s">
        <v>690</v>
      </c>
      <c r="FL219" s="286">
        <v>960</v>
      </c>
      <c r="FM219" s="286">
        <v>92680</v>
      </c>
      <c r="FN219" s="286">
        <v>4863360</v>
      </c>
      <c r="FO219" s="286">
        <v>2069438.9999999998</v>
      </c>
      <c r="FP219">
        <v>31</v>
      </c>
      <c r="FQ219" s="925">
        <v>254.37342899264078</v>
      </c>
      <c r="FR219" s="926">
        <v>23575329.399037946</v>
      </c>
      <c r="FS219">
        <v>0</v>
      </c>
    </row>
    <row r="220" spans="1:175">
      <c r="A220">
        <v>2015</v>
      </c>
      <c r="B220">
        <v>1370</v>
      </c>
      <c r="C220" t="s">
        <v>255</v>
      </c>
      <c r="D220" t="s">
        <v>245</v>
      </c>
      <c r="E220" s="203">
        <v>93</v>
      </c>
      <c r="F220" s="203" t="s">
        <v>250</v>
      </c>
      <c r="G220" s="203" t="s">
        <v>247</v>
      </c>
      <c r="H220" s="203" t="s">
        <v>248</v>
      </c>
      <c r="I220" s="202">
        <v>0</v>
      </c>
      <c r="J220" s="202">
        <v>0</v>
      </c>
      <c r="K220" s="202">
        <v>0</v>
      </c>
      <c r="L220" s="253"/>
      <c r="BX220" s="623"/>
      <c r="BY220" t="s">
        <v>1335</v>
      </c>
      <c r="BZ220" t="s">
        <v>1336</v>
      </c>
      <c r="CA220">
        <v>1</v>
      </c>
      <c r="CB220">
        <v>1</v>
      </c>
      <c r="CC220" t="s">
        <v>700</v>
      </c>
      <c r="CD220" s="286">
        <v>5440</v>
      </c>
      <c r="CE220" s="296">
        <v>53280</v>
      </c>
      <c r="CF220" s="261">
        <v>7175598</v>
      </c>
      <c r="CG220" s="261">
        <v>3771054</v>
      </c>
      <c r="CH220" s="202">
        <v>39</v>
      </c>
      <c r="CI220" s="261">
        <f t="shared" si="117"/>
        <v>5387.04129053214</v>
      </c>
      <c r="CJ220" s="261">
        <f t="shared" si="118"/>
        <v>287021559.95955241</v>
      </c>
      <c r="CL220">
        <v>15400</v>
      </c>
      <c r="CM220" s="299">
        <v>2019</v>
      </c>
      <c r="CN220" s="299">
        <v>1550</v>
      </c>
      <c r="CO220" s="300" t="s">
        <v>258</v>
      </c>
      <c r="CP220" s="299">
        <v>755</v>
      </c>
      <c r="CQ220" s="299">
        <v>61</v>
      </c>
      <c r="CR220" s="294" t="s">
        <v>385</v>
      </c>
      <c r="CS220" s="294" t="s">
        <v>407</v>
      </c>
      <c r="CT220" s="294" t="s">
        <v>408</v>
      </c>
      <c r="CU220" s="301">
        <v>89738000</v>
      </c>
      <c r="DB220">
        <f t="shared" si="114"/>
        <v>28</v>
      </c>
      <c r="DC220" s="595" t="s">
        <v>993</v>
      </c>
      <c r="DD220" s="595" t="s">
        <v>994</v>
      </c>
      <c r="DE220" s="595" t="s">
        <v>695</v>
      </c>
      <c r="DF220" s="286">
        <v>32928</v>
      </c>
      <c r="DG220" s="286">
        <v>3244167.9999999995</v>
      </c>
      <c r="DH220" s="286">
        <v>156675382</v>
      </c>
      <c r="DI220" s="286">
        <v>70855241.000000015</v>
      </c>
      <c r="DJ220">
        <v>22</v>
      </c>
      <c r="DK220" s="643">
        <f t="shared" si="115"/>
        <v>348.03770724419365</v>
      </c>
      <c r="DL220" s="408">
        <f t="shared" si="116"/>
        <v>1129092792.6349812</v>
      </c>
      <c r="DM220" s="286"/>
      <c r="DN220" s="286"/>
      <c r="FH220">
        <v>32</v>
      </c>
      <c r="FI220" t="s">
        <v>1005</v>
      </c>
      <c r="FJ220" t="s">
        <v>1006</v>
      </c>
      <c r="FK220" t="s">
        <v>690</v>
      </c>
      <c r="FL220" s="286">
        <v>600</v>
      </c>
      <c r="FM220" s="286">
        <v>57480</v>
      </c>
      <c r="FN220" s="286">
        <v>3455320</v>
      </c>
      <c r="FO220" s="286">
        <v>1516556</v>
      </c>
      <c r="FP220">
        <v>31</v>
      </c>
      <c r="FQ220" s="925">
        <v>254.37342899264078</v>
      </c>
      <c r="FR220" s="926">
        <v>14621384.698496992</v>
      </c>
      <c r="FS220">
        <v>0</v>
      </c>
    </row>
    <row r="221" spans="1:175">
      <c r="A221">
        <v>2015</v>
      </c>
      <c r="B221">
        <v>1370</v>
      </c>
      <c r="C221" t="s">
        <v>255</v>
      </c>
      <c r="D221" t="s">
        <v>245</v>
      </c>
      <c r="E221" s="203">
        <v>94</v>
      </c>
      <c r="F221" s="203" t="s">
        <v>250</v>
      </c>
      <c r="G221" s="203" t="s">
        <v>247</v>
      </c>
      <c r="H221" s="204" t="s">
        <v>249</v>
      </c>
      <c r="I221" s="202">
        <v>0</v>
      </c>
      <c r="J221" s="202">
        <v>0</v>
      </c>
      <c r="K221" s="202">
        <v>0</v>
      </c>
      <c r="L221" s="253"/>
      <c r="BX221" s="623"/>
      <c r="BY221" t="s">
        <v>1337</v>
      </c>
      <c r="BZ221" t="s">
        <v>1338</v>
      </c>
      <c r="CA221">
        <v>1</v>
      </c>
      <c r="CB221">
        <v>1</v>
      </c>
      <c r="CC221" t="s">
        <v>700</v>
      </c>
      <c r="CD221" s="286">
        <v>140560</v>
      </c>
      <c r="CE221" s="296">
        <v>1964200</v>
      </c>
      <c r="CF221" s="261">
        <v>149283120</v>
      </c>
      <c r="CG221" s="261">
        <v>113513402</v>
      </c>
      <c r="CH221" s="202">
        <v>39</v>
      </c>
      <c r="CI221" s="261">
        <f t="shared" si="117"/>
        <v>5387.04129053214</v>
      </c>
      <c r="CJ221" s="261">
        <f t="shared" si="118"/>
        <v>10581226502.86323</v>
      </c>
      <c r="CL221">
        <v>60520</v>
      </c>
      <c r="CM221" s="299">
        <v>2019</v>
      </c>
      <c r="CN221" s="299">
        <v>1550</v>
      </c>
      <c r="CO221" s="300" t="s">
        <v>258</v>
      </c>
      <c r="CP221" s="299">
        <v>755</v>
      </c>
      <c r="CQ221" s="299">
        <v>62</v>
      </c>
      <c r="CR221" s="294" t="s">
        <v>385</v>
      </c>
      <c r="CS221" s="294" t="s">
        <v>407</v>
      </c>
      <c r="CT221" s="294" t="s">
        <v>409</v>
      </c>
      <c r="CU221" s="301">
        <v>288097000</v>
      </c>
      <c r="DB221">
        <f t="shared" si="114"/>
        <v>28</v>
      </c>
      <c r="DC221" s="595" t="s">
        <v>1172</v>
      </c>
      <c r="DD221" s="595" t="s">
        <v>1173</v>
      </c>
      <c r="DE221" s="595" t="s">
        <v>695</v>
      </c>
      <c r="DF221" s="286">
        <v>4916</v>
      </c>
      <c r="DG221" s="286">
        <v>428599.99999999994</v>
      </c>
      <c r="DH221" s="286">
        <v>25291961</v>
      </c>
      <c r="DI221" s="286">
        <v>10699733</v>
      </c>
      <c r="DJ221">
        <v>22</v>
      </c>
      <c r="DK221" s="643">
        <f t="shared" si="115"/>
        <v>348.03770724419365</v>
      </c>
      <c r="DL221" s="408">
        <f t="shared" si="116"/>
        <v>149168961.32486138</v>
      </c>
      <c r="DM221" s="286"/>
      <c r="DN221" s="286"/>
      <c r="FH221">
        <v>32</v>
      </c>
      <c r="FI221" t="s">
        <v>1007</v>
      </c>
      <c r="FJ221" t="s">
        <v>1008</v>
      </c>
      <c r="FK221" t="s">
        <v>690</v>
      </c>
      <c r="FL221" s="286">
        <v>1278</v>
      </c>
      <c r="FM221" s="286">
        <v>115636</v>
      </c>
      <c r="FN221" s="286">
        <v>9222733</v>
      </c>
      <c r="FO221" s="286">
        <v>3485427</v>
      </c>
      <c r="FP221">
        <v>31</v>
      </c>
      <c r="FQ221" s="925">
        <v>254.37342899264078</v>
      </c>
      <c r="FR221" s="926">
        <v>29414725.834993009</v>
      </c>
      <c r="FS221">
        <v>0</v>
      </c>
    </row>
    <row r="222" spans="1:175">
      <c r="A222">
        <v>2015</v>
      </c>
      <c r="B222">
        <v>1370</v>
      </c>
      <c r="C222" t="s">
        <v>255</v>
      </c>
      <c r="D222" t="s">
        <v>245</v>
      </c>
      <c r="E222" s="203">
        <v>97</v>
      </c>
      <c r="F222" s="203" t="s">
        <v>251</v>
      </c>
      <c r="G222" s="203" t="s">
        <v>247</v>
      </c>
      <c r="H222" s="203" t="s">
        <v>248</v>
      </c>
      <c r="I222" s="202">
        <v>0</v>
      </c>
      <c r="J222" s="202">
        <v>0</v>
      </c>
      <c r="K222" s="202">
        <v>0</v>
      </c>
      <c r="L222" s="253"/>
      <c r="BX222" s="623"/>
      <c r="BY222" t="s">
        <v>1339</v>
      </c>
      <c r="BZ222" t="s">
        <v>1340</v>
      </c>
      <c r="CA222">
        <v>1</v>
      </c>
      <c r="CB222">
        <v>1</v>
      </c>
      <c r="CC222" t="s">
        <v>700</v>
      </c>
      <c r="CD222" s="286">
        <v>440</v>
      </c>
      <c r="CE222" s="296">
        <v>5680</v>
      </c>
      <c r="CF222" s="261">
        <v>490974</v>
      </c>
      <c r="CG222" s="261">
        <v>390979</v>
      </c>
      <c r="CH222" s="202">
        <v>39</v>
      </c>
      <c r="CI222" s="261">
        <f t="shared" si="117"/>
        <v>5387.04129053214</v>
      </c>
      <c r="CJ222" s="261">
        <f t="shared" si="118"/>
        <v>30598394.530222554</v>
      </c>
      <c r="CL222">
        <v>24520</v>
      </c>
      <c r="CM222" s="299">
        <v>2019</v>
      </c>
      <c r="CN222" s="299">
        <v>1550</v>
      </c>
      <c r="CO222" s="300" t="s">
        <v>258</v>
      </c>
      <c r="CP222" s="299">
        <v>755</v>
      </c>
      <c r="CQ222" s="299">
        <v>63</v>
      </c>
      <c r="CR222" s="294" t="s">
        <v>385</v>
      </c>
      <c r="CS222" s="294" t="s">
        <v>410</v>
      </c>
      <c r="CT222" s="294" t="s">
        <v>402</v>
      </c>
      <c r="CU222" s="301">
        <v>6249000</v>
      </c>
      <c r="DB222">
        <f t="shared" si="114"/>
        <v>28</v>
      </c>
      <c r="DC222" s="595" t="s">
        <v>855</v>
      </c>
      <c r="DD222" s="595" t="s">
        <v>856</v>
      </c>
      <c r="DE222" s="595" t="s">
        <v>687</v>
      </c>
      <c r="DF222" s="286">
        <v>9320</v>
      </c>
      <c r="DG222" s="286">
        <v>697612.00000000012</v>
      </c>
      <c r="DH222" s="286">
        <v>52169700</v>
      </c>
      <c r="DI222" s="286">
        <v>32182896.999999996</v>
      </c>
      <c r="DJ222">
        <v>13</v>
      </c>
      <c r="DK222" s="643">
        <f t="shared" si="115"/>
        <v>106.2931379319991</v>
      </c>
      <c r="DL222" s="408">
        <f t="shared" si="116"/>
        <v>74151368.539017767</v>
      </c>
      <c r="DM222" s="286"/>
      <c r="DN222" s="286"/>
      <c r="FH222">
        <v>37</v>
      </c>
      <c r="FI222" t="s">
        <v>883</v>
      </c>
      <c r="FJ222" t="s">
        <v>884</v>
      </c>
      <c r="FK222" t="s">
        <v>690</v>
      </c>
      <c r="FL222" s="286">
        <v>144677</v>
      </c>
      <c r="FM222" s="286">
        <v>3799428</v>
      </c>
      <c r="FN222" s="286">
        <v>269511126</v>
      </c>
      <c r="FO222" s="286">
        <v>142521264</v>
      </c>
      <c r="FP222">
        <v>36</v>
      </c>
      <c r="FQ222" s="925">
        <v>7463.6077432689826</v>
      </c>
      <c r="FR222" s="926">
        <v>28357440240.792984</v>
      </c>
      <c r="FS222">
        <v>0</v>
      </c>
    </row>
    <row r="223" spans="1:175">
      <c r="A223">
        <v>2015</v>
      </c>
      <c r="B223">
        <v>1370</v>
      </c>
      <c r="C223" t="s">
        <v>255</v>
      </c>
      <c r="D223" t="s">
        <v>245</v>
      </c>
      <c r="E223" s="203">
        <v>98</v>
      </c>
      <c r="F223" s="203" t="s">
        <v>251</v>
      </c>
      <c r="G223" s="203" t="s">
        <v>247</v>
      </c>
      <c r="H223" s="204" t="s">
        <v>249</v>
      </c>
      <c r="I223" s="202">
        <v>0</v>
      </c>
      <c r="J223" s="202">
        <v>0</v>
      </c>
      <c r="K223" s="202">
        <v>0</v>
      </c>
      <c r="L223" s="253"/>
      <c r="BX223" s="623"/>
      <c r="BY223" t="s">
        <v>1341</v>
      </c>
      <c r="BZ223" t="s">
        <v>1342</v>
      </c>
      <c r="CA223">
        <v>1</v>
      </c>
      <c r="CB223">
        <v>1</v>
      </c>
      <c r="CC223" t="s">
        <v>700</v>
      </c>
      <c r="CD223" s="286">
        <v>32560</v>
      </c>
      <c r="CE223" s="296">
        <v>291240</v>
      </c>
      <c r="CF223" s="261">
        <v>38529880</v>
      </c>
      <c r="CG223" s="261">
        <v>23371857</v>
      </c>
      <c r="CH223" s="202">
        <v>39</v>
      </c>
      <c r="CI223" s="261">
        <f t="shared" si="117"/>
        <v>5387.04129053214</v>
      </c>
      <c r="CJ223" s="261">
        <f t="shared" si="118"/>
        <v>1568921905.4545805</v>
      </c>
      <c r="CL223">
        <v>25160</v>
      </c>
      <c r="CM223" s="299">
        <v>2019</v>
      </c>
      <c r="CN223" s="299">
        <v>1550</v>
      </c>
      <c r="CO223" s="300" t="s">
        <v>258</v>
      </c>
      <c r="CP223" s="299">
        <v>755</v>
      </c>
      <c r="CQ223" s="299">
        <v>64</v>
      </c>
      <c r="CR223" s="294" t="s">
        <v>385</v>
      </c>
      <c r="CS223" s="294" t="s">
        <v>410</v>
      </c>
      <c r="CT223" s="294" t="s">
        <v>411</v>
      </c>
      <c r="CU223" s="301">
        <v>1716638000</v>
      </c>
      <c r="DB223">
        <f t="shared" si="114"/>
        <v>28</v>
      </c>
      <c r="DC223" s="595" t="s">
        <v>855</v>
      </c>
      <c r="DD223" s="595" t="s">
        <v>856</v>
      </c>
      <c r="DE223" s="595" t="s">
        <v>690</v>
      </c>
      <c r="DF223" s="286">
        <v>14236</v>
      </c>
      <c r="DG223" s="286">
        <v>1468608.0000000002</v>
      </c>
      <c r="DH223" s="286">
        <v>64423135</v>
      </c>
      <c r="DI223" s="286">
        <v>35799050</v>
      </c>
      <c r="DJ223">
        <v>13</v>
      </c>
      <c r="DK223" s="643">
        <f t="shared" si="115"/>
        <v>106.2931379319991</v>
      </c>
      <c r="DL223" s="408">
        <f t="shared" si="116"/>
        <v>156102952.71203735</v>
      </c>
      <c r="DM223" s="286"/>
      <c r="DN223" s="286"/>
      <c r="FH223">
        <v>40</v>
      </c>
      <c r="FI223" t="s">
        <v>1011</v>
      </c>
      <c r="FJ223" t="s">
        <v>1012</v>
      </c>
      <c r="FK223" t="s">
        <v>690</v>
      </c>
      <c r="FL223" s="286">
        <v>21768</v>
      </c>
      <c r="FM223" s="286">
        <v>2404420</v>
      </c>
      <c r="FN223" s="286">
        <v>73928493</v>
      </c>
      <c r="FO223" s="286">
        <v>43996626.000000007</v>
      </c>
      <c r="FP223">
        <v>41</v>
      </c>
      <c r="FQ223" s="925">
        <v>143.17663014662168</v>
      </c>
      <c r="FR223" s="926">
        <v>344256753.05714011</v>
      </c>
      <c r="FS223">
        <v>0</v>
      </c>
    </row>
    <row r="224" spans="1:175">
      <c r="A224">
        <v>2015</v>
      </c>
      <c r="B224">
        <v>2670</v>
      </c>
      <c r="C224" t="s">
        <v>257</v>
      </c>
      <c r="D224" t="s">
        <v>245</v>
      </c>
      <c r="E224" s="203">
        <v>91</v>
      </c>
      <c r="F224" s="203" t="s">
        <v>246</v>
      </c>
      <c r="G224" s="203" t="s">
        <v>247</v>
      </c>
      <c r="H224" s="203" t="s">
        <v>248</v>
      </c>
      <c r="I224" s="202">
        <v>200</v>
      </c>
      <c r="J224" s="202">
        <v>43200</v>
      </c>
      <c r="K224" s="202">
        <v>518803000</v>
      </c>
      <c r="L224" s="253"/>
      <c r="BX224" s="623"/>
      <c r="BY224" t="s">
        <v>839</v>
      </c>
      <c r="BZ224" t="s">
        <v>840</v>
      </c>
      <c r="CA224">
        <v>1</v>
      </c>
      <c r="CB224">
        <v>1</v>
      </c>
      <c r="CC224" t="s">
        <v>700</v>
      </c>
      <c r="CD224" s="286">
        <v>1960</v>
      </c>
      <c r="CE224" s="296">
        <v>42800</v>
      </c>
      <c r="CF224" s="261">
        <v>1850611</v>
      </c>
      <c r="CG224" s="261">
        <v>1149960</v>
      </c>
      <c r="CH224" s="202">
        <v>27</v>
      </c>
      <c r="CI224" s="261">
        <f t="shared" si="117"/>
        <v>985.37071332586186</v>
      </c>
      <c r="CJ224" s="261">
        <f t="shared" si="118"/>
        <v>42173866.530346885</v>
      </c>
      <c r="CL224">
        <v>215840</v>
      </c>
      <c r="CM224" s="299">
        <v>2019</v>
      </c>
      <c r="CN224" s="299">
        <v>1550</v>
      </c>
      <c r="CO224" s="300" t="s">
        <v>258</v>
      </c>
      <c r="CP224" s="299">
        <v>755</v>
      </c>
      <c r="CQ224" s="299">
        <v>65</v>
      </c>
      <c r="CR224" s="294" t="s">
        <v>385</v>
      </c>
      <c r="CS224" s="294" t="s">
        <v>412</v>
      </c>
      <c r="CT224" s="294" t="s">
        <v>387</v>
      </c>
      <c r="CU224" s="301">
        <v>0</v>
      </c>
      <c r="DB224">
        <f t="shared" si="114"/>
        <v>28</v>
      </c>
      <c r="DC224" s="595" t="s">
        <v>1174</v>
      </c>
      <c r="DD224" s="595" t="s">
        <v>1175</v>
      </c>
      <c r="DE224" s="595" t="s">
        <v>695</v>
      </c>
      <c r="DF224" s="286">
        <v>45512</v>
      </c>
      <c r="DG224" s="286">
        <v>4109764</v>
      </c>
      <c r="DH224" s="286">
        <v>217221420</v>
      </c>
      <c r="DI224" s="286">
        <v>109025430</v>
      </c>
      <c r="DJ224">
        <v>23</v>
      </c>
      <c r="DK224" s="643">
        <f t="shared" si="115"/>
        <v>3119.4415649807693</v>
      </c>
      <c r="DL224" s="408">
        <f t="shared" si="116"/>
        <v>12820168643.861626</v>
      </c>
      <c r="DM224" s="286"/>
      <c r="DN224" s="286"/>
      <c r="FH224">
        <v>48</v>
      </c>
      <c r="FI224" t="s">
        <v>1013</v>
      </c>
      <c r="FJ224" t="s">
        <v>1014</v>
      </c>
      <c r="FK224" t="s">
        <v>690</v>
      </c>
      <c r="FL224" s="286">
        <v>3000</v>
      </c>
      <c r="FM224" s="286">
        <v>286120</v>
      </c>
      <c r="FN224" s="286">
        <v>13257265</v>
      </c>
      <c r="FO224" s="286">
        <v>4209183</v>
      </c>
      <c r="FP224">
        <v>41</v>
      </c>
      <c r="FQ224" s="925">
        <v>143.17663014662168</v>
      </c>
      <c r="FR224" s="926">
        <v>40965697.417551391</v>
      </c>
      <c r="FS224">
        <v>0</v>
      </c>
    </row>
    <row r="225" spans="1:178">
      <c r="A225">
        <v>2015</v>
      </c>
      <c r="B225">
        <v>2670</v>
      </c>
      <c r="C225" t="s">
        <v>257</v>
      </c>
      <c r="D225" t="s">
        <v>245</v>
      </c>
      <c r="E225" s="203">
        <v>92</v>
      </c>
      <c r="F225" s="203" t="s">
        <v>246</v>
      </c>
      <c r="G225" s="203" t="s">
        <v>247</v>
      </c>
      <c r="H225" s="204" t="s">
        <v>249</v>
      </c>
      <c r="I225" s="202">
        <v>0</v>
      </c>
      <c r="J225" s="202">
        <v>0</v>
      </c>
      <c r="K225" s="202">
        <v>0</v>
      </c>
      <c r="L225" s="253"/>
      <c r="BX225" s="623"/>
      <c r="BY225" t="s">
        <v>841</v>
      </c>
      <c r="BZ225" t="s">
        <v>842</v>
      </c>
      <c r="CA225">
        <v>1</v>
      </c>
      <c r="CB225">
        <v>1</v>
      </c>
      <c r="CC225" t="s">
        <v>700</v>
      </c>
      <c r="CD225" s="286">
        <v>3600</v>
      </c>
      <c r="CE225" s="296">
        <v>75560</v>
      </c>
      <c r="CF225" s="261">
        <v>3804438</v>
      </c>
      <c r="CG225" s="261">
        <v>4132026</v>
      </c>
      <c r="CH225" s="202">
        <v>27</v>
      </c>
      <c r="CI225" s="261">
        <f t="shared" si="117"/>
        <v>985.37071332586186</v>
      </c>
      <c r="CJ225" s="261">
        <f t="shared" si="118"/>
        <v>74454611.098902121</v>
      </c>
      <c r="CL225">
        <v>14560</v>
      </c>
      <c r="CM225" s="299">
        <v>2019</v>
      </c>
      <c r="CN225" s="299">
        <v>1550</v>
      </c>
      <c r="CO225" s="300" t="s">
        <v>258</v>
      </c>
      <c r="CP225" s="299">
        <v>755</v>
      </c>
      <c r="CQ225" s="299">
        <v>66</v>
      </c>
      <c r="CR225" s="294" t="s">
        <v>385</v>
      </c>
      <c r="CS225" s="294" t="s">
        <v>412</v>
      </c>
      <c r="CT225" s="294" t="s">
        <v>388</v>
      </c>
      <c r="CU225" s="301">
        <v>6079000</v>
      </c>
      <c r="DB225">
        <f t="shared" ref="DB225:DB288" si="119">VALUE(LEFT(DC225,2))</f>
        <v>28</v>
      </c>
      <c r="DC225" s="595" t="s">
        <v>995</v>
      </c>
      <c r="DD225" s="595" t="s">
        <v>996</v>
      </c>
      <c r="DE225" s="595" t="s">
        <v>690</v>
      </c>
      <c r="DF225" s="286">
        <v>18520</v>
      </c>
      <c r="DG225" s="286">
        <v>1091040</v>
      </c>
      <c r="DH225" s="286">
        <v>90937792.999999985</v>
      </c>
      <c r="DI225" s="286">
        <v>30279818</v>
      </c>
      <c r="DJ225">
        <v>20</v>
      </c>
      <c r="DK225" s="643">
        <f t="shared" si="115"/>
        <v>878.59703070032845</v>
      </c>
      <c r="DL225" s="408">
        <f t="shared" si="116"/>
        <v>958584504.37528634</v>
      </c>
      <c r="DM225" s="286"/>
      <c r="DN225" s="286"/>
      <c r="FH225">
        <v>48</v>
      </c>
      <c r="FI225" t="s">
        <v>1015</v>
      </c>
      <c r="FJ225" t="s">
        <v>1014</v>
      </c>
      <c r="FK225" t="s">
        <v>690</v>
      </c>
      <c r="FL225" s="286">
        <v>1160</v>
      </c>
      <c r="FM225" s="286">
        <v>108640</v>
      </c>
      <c r="FN225" s="286">
        <v>6547880</v>
      </c>
      <c r="FO225" s="286">
        <v>2021295</v>
      </c>
      <c r="FP225">
        <v>41</v>
      </c>
      <c r="FQ225" s="925">
        <v>143.17663014662168</v>
      </c>
      <c r="FR225" s="926">
        <v>15554709.099128978</v>
      </c>
      <c r="FS225">
        <v>0</v>
      </c>
    </row>
    <row r="226" spans="1:178">
      <c r="A226">
        <v>2015</v>
      </c>
      <c r="B226">
        <v>2670</v>
      </c>
      <c r="C226" t="s">
        <v>257</v>
      </c>
      <c r="D226" t="s">
        <v>245</v>
      </c>
      <c r="E226" s="203">
        <v>93</v>
      </c>
      <c r="F226" s="203" t="s">
        <v>250</v>
      </c>
      <c r="G226" s="203" t="s">
        <v>247</v>
      </c>
      <c r="H226" s="203" t="s">
        <v>248</v>
      </c>
      <c r="I226" s="202">
        <v>0</v>
      </c>
      <c r="J226" s="202">
        <v>0</v>
      </c>
      <c r="K226" s="202">
        <v>0</v>
      </c>
      <c r="L226" s="253"/>
      <c r="BX226" s="623"/>
      <c r="BY226" t="s">
        <v>843</v>
      </c>
      <c r="BZ226" t="s">
        <v>844</v>
      </c>
      <c r="CA226">
        <v>1</v>
      </c>
      <c r="CB226">
        <v>1</v>
      </c>
      <c r="CC226" t="s">
        <v>700</v>
      </c>
      <c r="CD226" s="286">
        <v>1240</v>
      </c>
      <c r="CE226" s="296">
        <v>25960</v>
      </c>
      <c r="CF226" s="261">
        <v>1592694</v>
      </c>
      <c r="CG226" s="261">
        <v>1206662</v>
      </c>
      <c r="CH226" s="202">
        <v>27</v>
      </c>
      <c r="CI226" s="261">
        <f t="shared" si="117"/>
        <v>985.37071332586186</v>
      </c>
      <c r="CJ226" s="261">
        <f t="shared" si="118"/>
        <v>25580223.717939373</v>
      </c>
      <c r="CL226">
        <v>53280</v>
      </c>
      <c r="CM226" s="299">
        <v>2019</v>
      </c>
      <c r="CN226" s="299">
        <v>1550</v>
      </c>
      <c r="CO226" s="300" t="s">
        <v>258</v>
      </c>
      <c r="CP226" s="299">
        <v>755</v>
      </c>
      <c r="CQ226" s="299">
        <v>67</v>
      </c>
      <c r="CR226" s="294" t="s">
        <v>385</v>
      </c>
      <c r="CS226" s="294" t="s">
        <v>412</v>
      </c>
      <c r="CT226" s="294" t="s">
        <v>389</v>
      </c>
      <c r="CU226" s="301">
        <v>34605000</v>
      </c>
      <c r="DB226">
        <f t="shared" si="119"/>
        <v>28</v>
      </c>
      <c r="DC226" s="595" t="s">
        <v>1176</v>
      </c>
      <c r="DD226" s="595" t="s">
        <v>1177</v>
      </c>
      <c r="DE226" s="595" t="s">
        <v>695</v>
      </c>
      <c r="DF226" s="286">
        <v>12592</v>
      </c>
      <c r="DG226" s="286">
        <v>1078032</v>
      </c>
      <c r="DH226" s="286">
        <v>53957104.000000007</v>
      </c>
      <c r="DI226" s="286">
        <v>24864243.000000004</v>
      </c>
      <c r="DJ226">
        <v>23</v>
      </c>
      <c r="DK226" s="643">
        <f t="shared" ref="DK226:DK289" si="120">VLOOKUP($DJ226,$DC$341:$DG$383,5)</f>
        <v>3119.4415649807693</v>
      </c>
      <c r="DL226" s="408">
        <f t="shared" ref="DL226:DL289" si="121">DK226*DG226</f>
        <v>3362857829.1793485</v>
      </c>
      <c r="DM226" s="286"/>
      <c r="DN226" s="286"/>
      <c r="FL226" s="286">
        <f>SUM(FL159:FL225)</f>
        <v>2314765</v>
      </c>
      <c r="FM226" s="286">
        <f>SUM(FM159:FM225)</f>
        <v>217388209</v>
      </c>
      <c r="FN226" s="286"/>
      <c r="FO226" s="286"/>
      <c r="FQ226" s="925">
        <f>FR226/FM226</f>
        <v>1461.3479566879766</v>
      </c>
      <c r="FR226" s="408">
        <f>SUM(FR159:FR225)</f>
        <v>317679815030.2088</v>
      </c>
      <c r="FT226" s="927">
        <f>-1*(PMT($EA$23,$EA$24,FQ226,$EA$25*FQ226)/(365*24))</f>
        <v>0.18930795219743335</v>
      </c>
      <c r="FU226" s="790">
        <f>FT226*FV226</f>
        <v>17.778615400551526</v>
      </c>
      <c r="FV226" s="788">
        <f>FM226/FL226</f>
        <v>93.913727311411748</v>
      </c>
    </row>
    <row r="227" spans="1:178">
      <c r="A227">
        <v>2015</v>
      </c>
      <c r="B227">
        <v>2670</v>
      </c>
      <c r="C227" t="s">
        <v>257</v>
      </c>
      <c r="D227" t="s">
        <v>245</v>
      </c>
      <c r="E227" s="203">
        <v>94</v>
      </c>
      <c r="F227" s="203" t="s">
        <v>250</v>
      </c>
      <c r="G227" s="203" t="s">
        <v>247</v>
      </c>
      <c r="H227" s="204" t="s">
        <v>249</v>
      </c>
      <c r="I227" s="202">
        <v>0</v>
      </c>
      <c r="J227" s="202">
        <v>0</v>
      </c>
      <c r="K227" s="202">
        <v>0</v>
      </c>
      <c r="L227" s="253"/>
      <c r="BX227" s="623"/>
      <c r="BY227" t="s">
        <v>845</v>
      </c>
      <c r="BZ227" t="s">
        <v>846</v>
      </c>
      <c r="CA227">
        <v>1</v>
      </c>
      <c r="CB227">
        <v>1</v>
      </c>
      <c r="CC227" t="s">
        <v>700</v>
      </c>
      <c r="CD227" s="286">
        <v>5760</v>
      </c>
      <c r="CE227" s="296">
        <v>80680</v>
      </c>
      <c r="CF227" s="261">
        <v>3595800</v>
      </c>
      <c r="CG227" s="261">
        <v>3871126</v>
      </c>
      <c r="CH227" s="202">
        <v>27</v>
      </c>
      <c r="CI227" s="261">
        <f t="shared" si="117"/>
        <v>985.37071332586186</v>
      </c>
      <c r="CJ227" s="261">
        <f t="shared" si="118"/>
        <v>79499709.151130527</v>
      </c>
      <c r="CL227">
        <v>1964200</v>
      </c>
      <c r="CM227" s="299">
        <v>2019</v>
      </c>
      <c r="CN227" s="299">
        <v>1550</v>
      </c>
      <c r="CO227" s="300" t="s">
        <v>258</v>
      </c>
      <c r="CP227" s="299">
        <v>755</v>
      </c>
      <c r="CQ227" s="299">
        <v>68</v>
      </c>
      <c r="CR227" s="294" t="s">
        <v>385</v>
      </c>
      <c r="CS227" s="294" t="s">
        <v>412</v>
      </c>
      <c r="CT227" s="294" t="s">
        <v>390</v>
      </c>
      <c r="CU227" s="301">
        <v>64969000</v>
      </c>
      <c r="DB227">
        <f t="shared" si="119"/>
        <v>28</v>
      </c>
      <c r="DC227" s="595" t="s">
        <v>1178</v>
      </c>
      <c r="DD227" s="595" t="s">
        <v>1179</v>
      </c>
      <c r="DE227" s="595" t="s">
        <v>695</v>
      </c>
      <c r="DF227" s="286">
        <v>43971</v>
      </c>
      <c r="DG227" s="286">
        <v>4084194</v>
      </c>
      <c r="DH227" s="286">
        <v>142978146</v>
      </c>
      <c r="DI227" s="286">
        <v>116310690.99999999</v>
      </c>
      <c r="DJ227">
        <v>23</v>
      </c>
      <c r="DK227" s="643">
        <f t="shared" si="120"/>
        <v>3119.4415649807693</v>
      </c>
      <c r="DL227" s="408">
        <f t="shared" si="121"/>
        <v>12740404523.045069</v>
      </c>
      <c r="DM227" s="286"/>
      <c r="DN227" s="286"/>
      <c r="FL227" s="286"/>
      <c r="FM227" s="286"/>
      <c r="FN227" s="286"/>
      <c r="FO227" s="286"/>
      <c r="FQ227" s="925"/>
      <c r="FR227" s="926"/>
    </row>
    <row r="228" spans="1:178">
      <c r="A228">
        <v>2015</v>
      </c>
      <c r="B228">
        <v>2670</v>
      </c>
      <c r="C228" t="s">
        <v>257</v>
      </c>
      <c r="D228" t="s">
        <v>245</v>
      </c>
      <c r="E228" s="203">
        <v>97</v>
      </c>
      <c r="F228" s="203" t="s">
        <v>251</v>
      </c>
      <c r="G228" s="203" t="s">
        <v>247</v>
      </c>
      <c r="H228" s="203" t="s">
        <v>248</v>
      </c>
      <c r="I228" s="202">
        <v>0</v>
      </c>
      <c r="J228" s="202">
        <v>0</v>
      </c>
      <c r="K228" s="202">
        <v>0</v>
      </c>
      <c r="L228" s="253"/>
      <c r="BX228" s="623"/>
      <c r="BY228" t="s">
        <v>1343</v>
      </c>
      <c r="BZ228" t="s">
        <v>1344</v>
      </c>
      <c r="CA228">
        <v>1</v>
      </c>
      <c r="CB228">
        <v>1</v>
      </c>
      <c r="CC228" t="s">
        <v>700</v>
      </c>
      <c r="CD228" s="286">
        <v>75200</v>
      </c>
      <c r="CE228" s="296">
        <v>1160880</v>
      </c>
      <c r="CF228" s="261">
        <v>52505823</v>
      </c>
      <c r="CG228" s="261">
        <v>57382141</v>
      </c>
      <c r="CH228" s="202">
        <v>27</v>
      </c>
      <c r="CI228" s="261">
        <f t="shared" si="117"/>
        <v>985.37071332586186</v>
      </c>
      <c r="CJ228" s="261">
        <f t="shared" si="118"/>
        <v>1143897153.6857264</v>
      </c>
      <c r="CL228">
        <v>5680</v>
      </c>
      <c r="CM228" s="299">
        <v>2019</v>
      </c>
      <c r="CN228" s="299">
        <v>1550</v>
      </c>
      <c r="CO228" s="300" t="s">
        <v>258</v>
      </c>
      <c r="CP228" s="299">
        <v>755</v>
      </c>
      <c r="CQ228" s="299">
        <v>69</v>
      </c>
      <c r="CR228" s="294" t="s">
        <v>385</v>
      </c>
      <c r="CS228" s="294" t="s">
        <v>412</v>
      </c>
      <c r="CT228" s="294" t="s">
        <v>391</v>
      </c>
      <c r="CU228" s="301">
        <v>15516000</v>
      </c>
      <c r="DB228">
        <f t="shared" si="119"/>
        <v>28</v>
      </c>
      <c r="DC228" s="595" t="s">
        <v>1180</v>
      </c>
      <c r="DD228" s="595" t="s">
        <v>1181</v>
      </c>
      <c r="DE228" s="595" t="s">
        <v>695</v>
      </c>
      <c r="DF228" s="286">
        <v>4672</v>
      </c>
      <c r="DG228" s="286">
        <v>425940</v>
      </c>
      <c r="DH228" s="286">
        <v>21063307</v>
      </c>
      <c r="DI228" s="286">
        <v>8832328</v>
      </c>
      <c r="DJ228">
        <v>23</v>
      </c>
      <c r="DK228" s="643">
        <f t="shared" si="120"/>
        <v>3119.4415649807693</v>
      </c>
      <c r="DL228" s="408">
        <f t="shared" si="121"/>
        <v>1328694940.1879089</v>
      </c>
      <c r="DM228" s="286"/>
      <c r="DN228" s="286"/>
      <c r="FH228">
        <v>1</v>
      </c>
      <c r="FI228" t="s">
        <v>806</v>
      </c>
      <c r="FJ228" t="s">
        <v>807</v>
      </c>
      <c r="FK228" t="s">
        <v>689</v>
      </c>
      <c r="FL228" s="286">
        <v>10892</v>
      </c>
      <c r="FM228" s="286">
        <v>1018183</v>
      </c>
      <c r="FN228" s="286">
        <v>64309724</v>
      </c>
      <c r="FO228" s="286">
        <v>38913807</v>
      </c>
      <c r="FP228">
        <v>3</v>
      </c>
      <c r="FQ228" s="925">
        <v>679.18710494589243</v>
      </c>
      <c r="FR228" s="926">
        <v>691536764.07512355</v>
      </c>
      <c r="FS228">
        <v>0</v>
      </c>
    </row>
    <row r="229" spans="1:178">
      <c r="A229">
        <v>2015</v>
      </c>
      <c r="B229">
        <v>2670</v>
      </c>
      <c r="C229" t="s">
        <v>257</v>
      </c>
      <c r="D229" t="s">
        <v>245</v>
      </c>
      <c r="E229" s="203">
        <v>98</v>
      </c>
      <c r="F229" s="203" t="s">
        <v>251</v>
      </c>
      <c r="G229" s="203" t="s">
        <v>247</v>
      </c>
      <c r="H229" s="204" t="s">
        <v>249</v>
      </c>
      <c r="I229" s="202">
        <v>0</v>
      </c>
      <c r="J229" s="202">
        <v>0</v>
      </c>
      <c r="K229" s="202">
        <v>0</v>
      </c>
      <c r="L229" s="253"/>
      <c r="BX229" s="623"/>
      <c r="BY229" t="s">
        <v>1345</v>
      </c>
      <c r="BZ229" t="s">
        <v>1346</v>
      </c>
      <c r="CA229">
        <v>1</v>
      </c>
      <c r="CB229">
        <v>1</v>
      </c>
      <c r="CC229" t="s">
        <v>700</v>
      </c>
      <c r="CD229" s="286">
        <v>4320</v>
      </c>
      <c r="CE229" s="296">
        <v>58000</v>
      </c>
      <c r="CF229" s="261">
        <v>4869269</v>
      </c>
      <c r="CG229" s="261">
        <v>3486862</v>
      </c>
      <c r="CH229" s="202">
        <v>27</v>
      </c>
      <c r="CI229" s="261">
        <f t="shared" si="117"/>
        <v>985.37071332586186</v>
      </c>
      <c r="CJ229" s="261">
        <f t="shared" si="118"/>
        <v>57151501.372899987</v>
      </c>
      <c r="CL229">
        <v>291240</v>
      </c>
      <c r="CM229" s="299">
        <v>2019</v>
      </c>
      <c r="CN229" s="299">
        <v>1550</v>
      </c>
      <c r="CO229" s="300" t="s">
        <v>258</v>
      </c>
      <c r="CP229" s="299">
        <v>755</v>
      </c>
      <c r="CQ229" s="299">
        <v>70</v>
      </c>
      <c r="CR229" s="294" t="s">
        <v>385</v>
      </c>
      <c r="CS229" s="294" t="s">
        <v>412</v>
      </c>
      <c r="CT229" s="294" t="s">
        <v>392</v>
      </c>
      <c r="CU229" s="301">
        <v>357629000</v>
      </c>
      <c r="DB229">
        <f t="shared" si="119"/>
        <v>29</v>
      </c>
      <c r="DC229" s="595" t="s">
        <v>1182</v>
      </c>
      <c r="DD229" s="595" t="s">
        <v>1183</v>
      </c>
      <c r="DE229" s="595" t="s">
        <v>695</v>
      </c>
      <c r="DF229" s="286">
        <v>59626</v>
      </c>
      <c r="DG229" s="286">
        <v>4988058</v>
      </c>
      <c r="DH229" s="286">
        <v>98446452</v>
      </c>
      <c r="DI229" s="286">
        <v>61411574</v>
      </c>
      <c r="DJ229">
        <v>17</v>
      </c>
      <c r="DK229" s="643">
        <f t="shared" si="120"/>
        <v>519.17405707126977</v>
      </c>
      <c r="DL229" s="408">
        <f t="shared" si="121"/>
        <v>2589670308.7668037</v>
      </c>
      <c r="DM229" s="286"/>
      <c r="DN229" s="286"/>
      <c r="FH229">
        <v>24</v>
      </c>
      <c r="FI229" t="s">
        <v>1018</v>
      </c>
      <c r="FJ229" t="s">
        <v>1019</v>
      </c>
      <c r="FK229" t="s">
        <v>689</v>
      </c>
      <c r="FL229" s="286">
        <v>21788</v>
      </c>
      <c r="FM229" s="286">
        <v>1877176</v>
      </c>
      <c r="FN229" s="286">
        <v>34405504</v>
      </c>
      <c r="FO229" s="286">
        <v>21469179</v>
      </c>
      <c r="FP229">
        <v>26</v>
      </c>
      <c r="FQ229" s="925">
        <v>528.3954317970871</v>
      </c>
      <c r="FR229" s="926">
        <v>991891223.07912874</v>
      </c>
      <c r="FS229">
        <v>0</v>
      </c>
    </row>
    <row r="230" spans="1:178">
      <c r="A230">
        <v>2015</v>
      </c>
      <c r="B230">
        <v>1550</v>
      </c>
      <c r="C230" t="s">
        <v>258</v>
      </c>
      <c r="D230" t="s">
        <v>245</v>
      </c>
      <c r="E230" s="203">
        <v>91</v>
      </c>
      <c r="F230" s="203" t="s">
        <v>246</v>
      </c>
      <c r="G230" s="203" t="s">
        <v>247</v>
      </c>
      <c r="H230" s="203" t="s">
        <v>248</v>
      </c>
      <c r="I230" s="202">
        <v>18</v>
      </c>
      <c r="J230" s="202">
        <v>3272</v>
      </c>
      <c r="K230" s="202">
        <v>24665000</v>
      </c>
      <c r="L230" s="253"/>
      <c r="BX230" s="623"/>
      <c r="BY230" t="s">
        <v>1347</v>
      </c>
      <c r="BZ230" t="s">
        <v>1348</v>
      </c>
      <c r="CA230">
        <v>1</v>
      </c>
      <c r="CB230">
        <v>1</v>
      </c>
      <c r="CC230" t="s">
        <v>700</v>
      </c>
      <c r="CD230" s="286">
        <v>61680</v>
      </c>
      <c r="CE230" s="296">
        <v>817040</v>
      </c>
      <c r="CF230" s="261">
        <v>55501034</v>
      </c>
      <c r="CG230" s="261">
        <v>43865321</v>
      </c>
      <c r="CH230" s="202">
        <v>27</v>
      </c>
      <c r="CI230" s="261">
        <f t="shared" si="117"/>
        <v>985.37071332586186</v>
      </c>
      <c r="CJ230" s="261">
        <f t="shared" si="118"/>
        <v>805087287.61576211</v>
      </c>
      <c r="CL230">
        <v>42800</v>
      </c>
      <c r="CM230" s="299">
        <v>2019</v>
      </c>
      <c r="CN230" s="299">
        <v>1550</v>
      </c>
      <c r="CO230" s="300" t="s">
        <v>258</v>
      </c>
      <c r="CP230" s="299">
        <v>755</v>
      </c>
      <c r="CQ230" s="299">
        <v>71</v>
      </c>
      <c r="CR230" s="294" t="s">
        <v>385</v>
      </c>
      <c r="CS230" s="294" t="s">
        <v>412</v>
      </c>
      <c r="CT230" s="294" t="s">
        <v>393</v>
      </c>
      <c r="CU230" s="301">
        <v>22700000</v>
      </c>
      <c r="DB230">
        <f t="shared" si="119"/>
        <v>29</v>
      </c>
      <c r="DC230" s="595" t="s">
        <v>1184</v>
      </c>
      <c r="DD230" s="595" t="s">
        <v>1185</v>
      </c>
      <c r="DE230" s="595" t="s">
        <v>695</v>
      </c>
      <c r="DF230" s="286">
        <v>61831</v>
      </c>
      <c r="DG230" s="286">
        <v>5724466</v>
      </c>
      <c r="DH230" s="286">
        <v>197532987.00000003</v>
      </c>
      <c r="DI230" s="286">
        <v>119270016</v>
      </c>
      <c r="DJ230">
        <v>18</v>
      </c>
      <c r="DK230" s="643">
        <f t="shared" si="120"/>
        <v>469.80818268902482</v>
      </c>
      <c r="DL230" s="408">
        <f t="shared" si="121"/>
        <v>2689400968.3251109</v>
      </c>
      <c r="DM230" s="286"/>
      <c r="DN230" s="286"/>
      <c r="FH230">
        <v>33</v>
      </c>
      <c r="FI230" t="s">
        <v>1020</v>
      </c>
      <c r="FJ230" t="s">
        <v>1021</v>
      </c>
      <c r="FK230" t="s">
        <v>689</v>
      </c>
      <c r="FL230" s="286">
        <v>5856</v>
      </c>
      <c r="FM230" s="286">
        <v>566376</v>
      </c>
      <c r="FN230" s="286">
        <v>12037852</v>
      </c>
      <c r="FO230" s="286">
        <v>8271922.0000000009</v>
      </c>
      <c r="FP230">
        <v>32</v>
      </c>
      <c r="FQ230" s="925">
        <v>1383.6810951873679</v>
      </c>
      <c r="FR230" s="926">
        <v>783683763.96784067</v>
      </c>
      <c r="FS230">
        <v>0</v>
      </c>
    </row>
    <row r="231" spans="1:178">
      <c r="A231">
        <v>2015</v>
      </c>
      <c r="B231">
        <v>1550</v>
      </c>
      <c r="C231" t="s">
        <v>258</v>
      </c>
      <c r="D231" t="s">
        <v>245</v>
      </c>
      <c r="E231" s="203">
        <v>92</v>
      </c>
      <c r="F231" s="203" t="s">
        <v>246</v>
      </c>
      <c r="G231" s="203" t="s">
        <v>247</v>
      </c>
      <c r="H231" s="204" t="s">
        <v>249</v>
      </c>
      <c r="I231" s="202">
        <v>52</v>
      </c>
      <c r="J231" s="202">
        <v>9148</v>
      </c>
      <c r="K231" s="202">
        <v>57015000</v>
      </c>
      <c r="L231" s="253"/>
      <c r="BX231" s="623"/>
      <c r="BY231" t="s">
        <v>849</v>
      </c>
      <c r="BZ231" t="s">
        <v>850</v>
      </c>
      <c r="CA231">
        <v>1</v>
      </c>
      <c r="CB231">
        <v>1</v>
      </c>
      <c r="CC231" t="s">
        <v>700</v>
      </c>
      <c r="CD231" s="286">
        <v>5920</v>
      </c>
      <c r="CE231" s="296">
        <v>82240</v>
      </c>
      <c r="CF231" s="261">
        <v>4029744</v>
      </c>
      <c r="CG231" s="261">
        <v>5051964</v>
      </c>
      <c r="CH231" s="202">
        <v>27</v>
      </c>
      <c r="CI231" s="261">
        <f t="shared" si="117"/>
        <v>985.37071332586186</v>
      </c>
      <c r="CJ231" s="261">
        <f t="shared" si="118"/>
        <v>81036887.46391888</v>
      </c>
      <c r="CL231">
        <v>75560</v>
      </c>
      <c r="CM231" s="299">
        <v>2019</v>
      </c>
      <c r="CN231" s="299">
        <v>1550</v>
      </c>
      <c r="CO231" s="300" t="s">
        <v>258</v>
      </c>
      <c r="CP231" s="299">
        <v>755</v>
      </c>
      <c r="CQ231" s="299">
        <v>72</v>
      </c>
      <c r="CR231" s="294" t="s">
        <v>385</v>
      </c>
      <c r="CS231" s="294" t="s">
        <v>412</v>
      </c>
      <c r="CT231" s="294" t="s">
        <v>394</v>
      </c>
      <c r="CU231" s="301">
        <v>99711000</v>
      </c>
      <c r="DB231">
        <f t="shared" si="119"/>
        <v>29</v>
      </c>
      <c r="DC231" s="595" t="s">
        <v>1186</v>
      </c>
      <c r="DD231" s="595" t="s">
        <v>1187</v>
      </c>
      <c r="DE231" s="595" t="s">
        <v>695</v>
      </c>
      <c r="DF231" s="286">
        <v>61516</v>
      </c>
      <c r="DG231" s="286">
        <v>5259724</v>
      </c>
      <c r="DH231" s="286">
        <v>255217837</v>
      </c>
      <c r="DI231" s="286">
        <v>134545678</v>
      </c>
      <c r="DJ231">
        <v>19</v>
      </c>
      <c r="DK231" s="643">
        <f t="shared" si="120"/>
        <v>318.85396595091396</v>
      </c>
      <c r="DL231" s="408">
        <f t="shared" si="121"/>
        <v>1677083857.2072051</v>
      </c>
      <c r="DM231" s="286"/>
      <c r="DN231" s="286"/>
      <c r="FH231">
        <v>33</v>
      </c>
      <c r="FI231" t="s">
        <v>1022</v>
      </c>
      <c r="FJ231" t="s">
        <v>1023</v>
      </c>
      <c r="FK231" t="s">
        <v>689</v>
      </c>
      <c r="FL231" s="286">
        <v>10988</v>
      </c>
      <c r="FM231" s="286">
        <v>974664</v>
      </c>
      <c r="FN231" s="286">
        <v>44831094</v>
      </c>
      <c r="FO231" s="286">
        <v>33344249.000000004</v>
      </c>
      <c r="FP231">
        <v>32</v>
      </c>
      <c r="FQ231" s="925">
        <v>1383.6810951873679</v>
      </c>
      <c r="FR231" s="926">
        <v>1348624150.9597008</v>
      </c>
      <c r="FS231">
        <v>0</v>
      </c>
    </row>
    <row r="232" spans="1:178">
      <c r="A232">
        <v>2015</v>
      </c>
      <c r="B232">
        <v>1550</v>
      </c>
      <c r="C232" t="s">
        <v>258</v>
      </c>
      <c r="D232" t="s">
        <v>245</v>
      </c>
      <c r="E232" s="203">
        <v>93</v>
      </c>
      <c r="F232" s="203" t="s">
        <v>250</v>
      </c>
      <c r="G232" s="203" t="s">
        <v>247</v>
      </c>
      <c r="H232" s="203" t="s">
        <v>248</v>
      </c>
      <c r="I232" s="202">
        <v>2033</v>
      </c>
      <c r="J232" s="202">
        <v>63049</v>
      </c>
      <c r="K232" s="202">
        <v>206187000</v>
      </c>
      <c r="L232" s="253"/>
      <c r="BX232" s="623"/>
      <c r="BY232" t="s">
        <v>1349</v>
      </c>
      <c r="BZ232" t="s">
        <v>1350</v>
      </c>
      <c r="CA232">
        <v>1</v>
      </c>
      <c r="CB232">
        <v>1</v>
      </c>
      <c r="CC232" t="s">
        <v>700</v>
      </c>
      <c r="CD232" s="286">
        <v>2960</v>
      </c>
      <c r="CE232" s="296">
        <v>37320</v>
      </c>
      <c r="CF232" s="261">
        <v>4163150</v>
      </c>
      <c r="CG232" s="261">
        <v>2309543</v>
      </c>
      <c r="CH232" s="202">
        <v>27</v>
      </c>
      <c r="CI232" s="261">
        <f t="shared" si="117"/>
        <v>985.37071332586186</v>
      </c>
      <c r="CJ232" s="261">
        <f t="shared" si="118"/>
        <v>36774035.021321163</v>
      </c>
      <c r="CL232">
        <v>25960</v>
      </c>
      <c r="CM232" s="299">
        <v>2019</v>
      </c>
      <c r="CN232" s="299">
        <v>1550</v>
      </c>
      <c r="CO232" s="300" t="s">
        <v>258</v>
      </c>
      <c r="CP232" s="299">
        <v>755</v>
      </c>
      <c r="CQ232" s="299">
        <v>73</v>
      </c>
      <c r="CR232" s="294" t="s">
        <v>385</v>
      </c>
      <c r="CS232" s="294" t="s">
        <v>412</v>
      </c>
      <c r="CT232" s="294" t="s">
        <v>395</v>
      </c>
      <c r="CU232" s="301">
        <v>2373000</v>
      </c>
      <c r="DB232">
        <f t="shared" si="119"/>
        <v>29</v>
      </c>
      <c r="DC232" s="595" t="s">
        <v>1188</v>
      </c>
      <c r="DD232" s="595" t="s">
        <v>1189</v>
      </c>
      <c r="DE232" s="595" t="s">
        <v>695</v>
      </c>
      <c r="DF232" s="286">
        <v>98636</v>
      </c>
      <c r="DG232" s="286">
        <v>8734492</v>
      </c>
      <c r="DH232" s="286">
        <v>435595723</v>
      </c>
      <c r="DI232" s="286">
        <v>239183692</v>
      </c>
      <c r="DJ232">
        <v>19</v>
      </c>
      <c r="DK232" s="643">
        <f t="shared" si="120"/>
        <v>318.85396595091396</v>
      </c>
      <c r="DL232" s="408">
        <f t="shared" si="121"/>
        <v>2785027414.7665305</v>
      </c>
      <c r="DM232" s="286"/>
      <c r="DN232" s="286"/>
      <c r="FH232">
        <v>33</v>
      </c>
      <c r="FI232" t="s">
        <v>869</v>
      </c>
      <c r="FJ232" t="s">
        <v>870</v>
      </c>
      <c r="FK232" t="s">
        <v>689</v>
      </c>
      <c r="FL232" s="286">
        <v>274916</v>
      </c>
      <c r="FM232" s="286">
        <v>25722376</v>
      </c>
      <c r="FN232" s="286">
        <v>1013561150</v>
      </c>
      <c r="FO232" s="286">
        <v>673180760</v>
      </c>
      <c r="FP232">
        <v>32</v>
      </c>
      <c r="FQ232" s="925">
        <v>1383.6810951873679</v>
      </c>
      <c r="FR232" s="926">
        <v>35591565394.501266</v>
      </c>
      <c r="FS232">
        <v>0</v>
      </c>
    </row>
    <row r="233" spans="1:178">
      <c r="A233">
        <v>2015</v>
      </c>
      <c r="B233">
        <v>1550</v>
      </c>
      <c r="C233" t="s">
        <v>258</v>
      </c>
      <c r="D233" t="s">
        <v>245</v>
      </c>
      <c r="E233" s="203">
        <v>94</v>
      </c>
      <c r="F233" s="203" t="s">
        <v>250</v>
      </c>
      <c r="G233" s="203" t="s">
        <v>247</v>
      </c>
      <c r="H233" s="203" t="s">
        <v>249</v>
      </c>
      <c r="I233" s="202">
        <v>0</v>
      </c>
      <c r="J233" s="202">
        <v>0</v>
      </c>
      <c r="K233" s="202">
        <v>0</v>
      </c>
      <c r="L233" s="253"/>
      <c r="BX233" s="623"/>
      <c r="BY233" t="s">
        <v>1351</v>
      </c>
      <c r="BZ233" t="s">
        <v>1352</v>
      </c>
      <c r="CA233">
        <v>1</v>
      </c>
      <c r="CB233">
        <v>1</v>
      </c>
      <c r="CC233" t="s">
        <v>700</v>
      </c>
      <c r="CD233" s="286">
        <v>600</v>
      </c>
      <c r="CE233" s="296">
        <v>9360</v>
      </c>
      <c r="CF233" s="261">
        <v>729280</v>
      </c>
      <c r="CG233" s="261">
        <v>591157</v>
      </c>
      <c r="CH233" s="202">
        <v>27</v>
      </c>
      <c r="CI233" s="261">
        <f t="shared" si="117"/>
        <v>985.37071332586186</v>
      </c>
      <c r="CJ233" s="261">
        <f t="shared" si="118"/>
        <v>9223069.8767300677</v>
      </c>
      <c r="CL233">
        <v>80680</v>
      </c>
      <c r="CM233" s="299">
        <v>2019</v>
      </c>
      <c r="CN233" s="299">
        <v>1550</v>
      </c>
      <c r="CO233" s="300" t="s">
        <v>258</v>
      </c>
      <c r="CP233" s="299">
        <v>755</v>
      </c>
      <c r="CQ233" s="299">
        <v>74</v>
      </c>
      <c r="CR233" s="294" t="s">
        <v>385</v>
      </c>
      <c r="CS233" s="294" t="s">
        <v>412</v>
      </c>
      <c r="CT233" s="294" t="s">
        <v>396</v>
      </c>
      <c r="CU233" s="301">
        <v>562000</v>
      </c>
      <c r="DB233">
        <f t="shared" si="119"/>
        <v>29</v>
      </c>
      <c r="DC233" s="595" t="s">
        <v>1190</v>
      </c>
      <c r="DD233" s="595" t="s">
        <v>1191</v>
      </c>
      <c r="DE233" s="595" t="s">
        <v>695</v>
      </c>
      <c r="DF233" s="286">
        <v>84880</v>
      </c>
      <c r="DG233" s="286">
        <v>7240312</v>
      </c>
      <c r="DH233" s="286">
        <v>317718115</v>
      </c>
      <c r="DI233" s="286">
        <v>188052830.00000003</v>
      </c>
      <c r="DJ233">
        <v>18</v>
      </c>
      <c r="DK233" s="643">
        <f t="shared" si="120"/>
        <v>469.80818268902482</v>
      </c>
      <c r="DL233" s="408">
        <f t="shared" si="121"/>
        <v>3401557822.8215384</v>
      </c>
      <c r="DM233" s="286"/>
      <c r="DN233" s="286"/>
      <c r="FH233">
        <v>33</v>
      </c>
      <c r="FI233" t="s">
        <v>1024</v>
      </c>
      <c r="FJ233" t="s">
        <v>1025</v>
      </c>
      <c r="FK233" t="s">
        <v>689</v>
      </c>
      <c r="FL233" s="286">
        <v>11272</v>
      </c>
      <c r="FM233" s="286">
        <v>1068768</v>
      </c>
      <c r="FN233" s="286">
        <v>55449020.000000007</v>
      </c>
      <c r="FO233" s="286">
        <v>31722278</v>
      </c>
      <c r="FP233">
        <v>32</v>
      </c>
      <c r="FQ233" s="925">
        <v>1383.6810951873679</v>
      </c>
      <c r="FR233" s="926">
        <v>1478834076.7412128</v>
      </c>
      <c r="FS233">
        <v>0</v>
      </c>
    </row>
    <row r="234" spans="1:178">
      <c r="A234">
        <v>2015</v>
      </c>
      <c r="B234">
        <v>1550</v>
      </c>
      <c r="C234" t="s">
        <v>258</v>
      </c>
      <c r="D234" t="s">
        <v>245</v>
      </c>
      <c r="E234">
        <v>97</v>
      </c>
      <c r="F234" t="s">
        <v>251</v>
      </c>
      <c r="G234" t="s">
        <v>247</v>
      </c>
      <c r="H234" t="s">
        <v>248</v>
      </c>
      <c r="I234" s="202">
        <v>7271</v>
      </c>
      <c r="J234" s="202">
        <v>30928</v>
      </c>
      <c r="K234" s="202">
        <v>85247000</v>
      </c>
      <c r="L234" s="253"/>
      <c r="BX234" s="623"/>
      <c r="BY234" t="s">
        <v>1353</v>
      </c>
      <c r="BZ234" t="s">
        <v>1354</v>
      </c>
      <c r="CA234">
        <v>1</v>
      </c>
      <c r="CB234">
        <v>1</v>
      </c>
      <c r="CC234" t="s">
        <v>700</v>
      </c>
      <c r="CD234" s="286">
        <v>22080</v>
      </c>
      <c r="CE234" s="296">
        <v>268200</v>
      </c>
      <c r="CF234" s="261">
        <v>26127551</v>
      </c>
      <c r="CG234" s="261">
        <v>14767177</v>
      </c>
      <c r="CH234" s="202">
        <v>27</v>
      </c>
      <c r="CI234" s="261">
        <f t="shared" si="117"/>
        <v>985.37071332586186</v>
      </c>
      <c r="CJ234" s="261">
        <f t="shared" si="118"/>
        <v>264276425.31399614</v>
      </c>
      <c r="CL234">
        <v>1160880</v>
      </c>
      <c r="CM234" s="299">
        <v>2019</v>
      </c>
      <c r="CN234" s="299">
        <v>1550</v>
      </c>
      <c r="CO234" s="300" t="s">
        <v>258</v>
      </c>
      <c r="CP234" s="299">
        <v>755</v>
      </c>
      <c r="CQ234" s="299">
        <v>75</v>
      </c>
      <c r="CR234" s="294" t="s">
        <v>385</v>
      </c>
      <c r="CS234" s="294" t="s">
        <v>412</v>
      </c>
      <c r="CT234" s="294" t="s">
        <v>397</v>
      </c>
      <c r="CU234" s="301">
        <v>46602000</v>
      </c>
      <c r="DB234">
        <f t="shared" si="119"/>
        <v>29</v>
      </c>
      <c r="DC234" s="595" t="s">
        <v>1192</v>
      </c>
      <c r="DD234" s="595" t="s">
        <v>1193</v>
      </c>
      <c r="DE234" s="595" t="s">
        <v>695</v>
      </c>
      <c r="DF234" s="286">
        <v>58032</v>
      </c>
      <c r="DG234" s="286">
        <v>4740172</v>
      </c>
      <c r="DH234" s="286">
        <v>222611687</v>
      </c>
      <c r="DI234" s="286">
        <v>129580171.99999999</v>
      </c>
      <c r="DJ234">
        <v>17</v>
      </c>
      <c r="DK234" s="643">
        <f t="shared" si="120"/>
        <v>519.17405707126977</v>
      </c>
      <c r="DL234" s="408">
        <f t="shared" si="121"/>
        <v>2460974328.4556351</v>
      </c>
      <c r="DM234" s="286"/>
      <c r="DN234" s="286"/>
      <c r="FH234">
        <v>33</v>
      </c>
      <c r="FI234" t="s">
        <v>1026</v>
      </c>
      <c r="FJ234" t="s">
        <v>1027</v>
      </c>
      <c r="FK234" t="s">
        <v>689</v>
      </c>
      <c r="FL234" s="286">
        <v>2040</v>
      </c>
      <c r="FM234" s="286">
        <v>178440</v>
      </c>
      <c r="FN234" s="286">
        <v>12967571</v>
      </c>
      <c r="FO234" s="286">
        <v>7483297</v>
      </c>
      <c r="FP234">
        <v>32</v>
      </c>
      <c r="FQ234" s="925">
        <v>1383.6810951873679</v>
      </c>
      <c r="FR234" s="926">
        <v>246904054.62523392</v>
      </c>
      <c r="FS234">
        <v>0</v>
      </c>
    </row>
    <row r="235" spans="1:178">
      <c r="A235">
        <v>2015</v>
      </c>
      <c r="B235">
        <v>1550</v>
      </c>
      <c r="C235" t="s">
        <v>258</v>
      </c>
      <c r="D235" t="s">
        <v>245</v>
      </c>
      <c r="E235">
        <v>98</v>
      </c>
      <c r="F235" t="s">
        <v>251</v>
      </c>
      <c r="G235" t="s">
        <v>247</v>
      </c>
      <c r="H235" t="s">
        <v>249</v>
      </c>
      <c r="I235" s="202">
        <v>0</v>
      </c>
      <c r="J235" s="202">
        <v>0</v>
      </c>
      <c r="K235" s="202">
        <v>0</v>
      </c>
      <c r="L235" s="253"/>
      <c r="BX235" s="623"/>
      <c r="BY235" t="s">
        <v>1355</v>
      </c>
      <c r="BZ235" t="s">
        <v>1356</v>
      </c>
      <c r="CA235">
        <v>1</v>
      </c>
      <c r="CB235">
        <v>1</v>
      </c>
      <c r="CC235" t="s">
        <v>700</v>
      </c>
      <c r="CD235" s="286">
        <v>81480</v>
      </c>
      <c r="CE235" s="296">
        <v>1539840</v>
      </c>
      <c r="CF235" s="261">
        <v>73372688</v>
      </c>
      <c r="CG235" s="261">
        <v>70800193</v>
      </c>
      <c r="CH235" s="202">
        <v>27</v>
      </c>
      <c r="CI235" s="261">
        <f t="shared" si="117"/>
        <v>985.37071332586186</v>
      </c>
      <c r="CJ235" s="261">
        <f t="shared" si="118"/>
        <v>1517313239.207695</v>
      </c>
      <c r="CL235">
        <v>58000</v>
      </c>
      <c r="CM235" s="299">
        <v>2019</v>
      </c>
      <c r="CN235" s="299">
        <v>1550</v>
      </c>
      <c r="CO235" s="300" t="s">
        <v>258</v>
      </c>
      <c r="CP235" s="299">
        <v>755</v>
      </c>
      <c r="CQ235" s="299">
        <v>76</v>
      </c>
      <c r="CR235" s="294" t="s">
        <v>385</v>
      </c>
      <c r="CS235" s="294" t="s">
        <v>412</v>
      </c>
      <c r="CT235" s="294" t="s">
        <v>398</v>
      </c>
      <c r="CU235" s="301">
        <v>134929000</v>
      </c>
      <c r="DB235">
        <f t="shared" si="119"/>
        <v>29</v>
      </c>
      <c r="DC235" s="595" t="s">
        <v>1194</v>
      </c>
      <c r="DD235" s="595" t="s">
        <v>1195</v>
      </c>
      <c r="DE235" s="595" t="s">
        <v>695</v>
      </c>
      <c r="DF235" s="286">
        <v>408323</v>
      </c>
      <c r="DG235" s="286">
        <v>27723203.999999996</v>
      </c>
      <c r="DH235" s="286">
        <v>1375900478</v>
      </c>
      <c r="DI235" s="286">
        <v>734804255</v>
      </c>
      <c r="DJ235">
        <v>19</v>
      </c>
      <c r="DK235" s="643">
        <f t="shared" si="120"/>
        <v>318.85396595091396</v>
      </c>
      <c r="DL235" s="408">
        <f t="shared" si="121"/>
        <v>8839653544.2662411</v>
      </c>
      <c r="DM235" s="286"/>
      <c r="DN235" s="286"/>
      <c r="FH235">
        <v>33</v>
      </c>
      <c r="FI235" t="s">
        <v>1028</v>
      </c>
      <c r="FJ235" t="s">
        <v>1029</v>
      </c>
      <c r="FK235" t="s">
        <v>689</v>
      </c>
      <c r="FL235" s="286">
        <v>7528</v>
      </c>
      <c r="FM235" s="286">
        <v>634127.99999999988</v>
      </c>
      <c r="FN235" s="286">
        <v>51235361.000000007</v>
      </c>
      <c r="FO235" s="286">
        <v>28489269</v>
      </c>
      <c r="FP235">
        <v>33</v>
      </c>
      <c r="FQ235" s="925">
        <v>3091.5868848384584</v>
      </c>
      <c r="FR235" s="926">
        <v>1960461808.1088417</v>
      </c>
      <c r="FS235">
        <v>0</v>
      </c>
    </row>
    <row r="236" spans="1:178">
      <c r="BX236" s="623"/>
      <c r="BY236" t="s">
        <v>1357</v>
      </c>
      <c r="BZ236" t="s">
        <v>1358</v>
      </c>
      <c r="CA236">
        <v>1</v>
      </c>
      <c r="CB236">
        <v>1</v>
      </c>
      <c r="CC236" t="s">
        <v>700</v>
      </c>
      <c r="CD236" s="286">
        <v>7120</v>
      </c>
      <c r="CE236" s="296">
        <v>109080</v>
      </c>
      <c r="CF236" s="261">
        <v>9268491</v>
      </c>
      <c r="CG236" s="261">
        <v>5860473</v>
      </c>
      <c r="CH236" s="202">
        <v>27</v>
      </c>
      <c r="CI236" s="261">
        <f t="shared" si="117"/>
        <v>985.37071332586186</v>
      </c>
      <c r="CJ236" s="261">
        <f t="shared" si="118"/>
        <v>107484237.40958501</v>
      </c>
      <c r="CL236">
        <v>817040</v>
      </c>
      <c r="CM236" s="299">
        <v>2019</v>
      </c>
      <c r="CN236" s="299">
        <v>1550</v>
      </c>
      <c r="CO236" s="300" t="s">
        <v>258</v>
      </c>
      <c r="CP236" s="299">
        <v>755</v>
      </c>
      <c r="CQ236" s="299">
        <v>77</v>
      </c>
      <c r="CR236" s="294" t="s">
        <v>385</v>
      </c>
      <c r="CS236" s="294" t="s">
        <v>412</v>
      </c>
      <c r="CT236" s="294" t="s">
        <v>399</v>
      </c>
      <c r="CU236" s="301">
        <v>396000</v>
      </c>
      <c r="DB236">
        <f t="shared" si="119"/>
        <v>29</v>
      </c>
      <c r="DC236" s="595" t="s">
        <v>857</v>
      </c>
      <c r="DD236" s="595" t="s">
        <v>858</v>
      </c>
      <c r="DE236" s="595" t="s">
        <v>687</v>
      </c>
      <c r="DF236" s="286">
        <v>8120</v>
      </c>
      <c r="DG236" s="286">
        <v>698172</v>
      </c>
      <c r="DH236" s="286">
        <v>42842619.999999993</v>
      </c>
      <c r="DI236" s="286">
        <v>22777124</v>
      </c>
      <c r="DJ236">
        <v>31</v>
      </c>
      <c r="DK236" s="643">
        <f t="shared" si="120"/>
        <v>254.37342899264078</v>
      </c>
      <c r="DL236" s="408">
        <f t="shared" si="121"/>
        <v>177596405.66665</v>
      </c>
      <c r="DM236" s="286"/>
      <c r="DN236" s="286"/>
      <c r="FH236">
        <v>33</v>
      </c>
      <c r="FI236" t="s">
        <v>1030</v>
      </c>
      <c r="FJ236" t="s">
        <v>1031</v>
      </c>
      <c r="FK236" t="s">
        <v>689</v>
      </c>
      <c r="FL236" s="286">
        <v>876</v>
      </c>
      <c r="FM236" s="286">
        <v>67320</v>
      </c>
      <c r="FN236" s="286">
        <v>4003704</v>
      </c>
      <c r="FO236" s="286">
        <v>1267860</v>
      </c>
      <c r="FP236">
        <v>33</v>
      </c>
      <c r="FQ236" s="925">
        <v>3091.5868848384584</v>
      </c>
      <c r="FR236" s="926">
        <v>208125629.08732504</v>
      </c>
      <c r="FS236">
        <v>0</v>
      </c>
    </row>
    <row r="237" spans="1:178">
      <c r="BX237" s="623"/>
      <c r="BY237" t="s">
        <v>1359</v>
      </c>
      <c r="BZ237" t="s">
        <v>1360</v>
      </c>
      <c r="CA237">
        <v>1</v>
      </c>
      <c r="CB237">
        <v>1</v>
      </c>
      <c r="CC237" t="s">
        <v>700</v>
      </c>
      <c r="CD237" s="286">
        <v>7080</v>
      </c>
      <c r="CE237" s="296">
        <v>76000</v>
      </c>
      <c r="CF237" s="261">
        <v>5051437</v>
      </c>
      <c r="CG237" s="261">
        <v>3842831</v>
      </c>
      <c r="CH237" s="202">
        <v>27</v>
      </c>
      <c r="CI237" s="261">
        <f t="shared" si="117"/>
        <v>985.37071332586186</v>
      </c>
      <c r="CJ237" s="261">
        <f t="shared" si="118"/>
        <v>74888174.2127655</v>
      </c>
      <c r="CL237">
        <v>82240</v>
      </c>
      <c r="CM237" s="299">
        <v>2019</v>
      </c>
      <c r="CN237" s="299">
        <v>1550</v>
      </c>
      <c r="CO237" s="300" t="s">
        <v>258</v>
      </c>
      <c r="CP237" s="299">
        <v>755</v>
      </c>
      <c r="CQ237" s="299">
        <v>78</v>
      </c>
      <c r="CR237" s="294" t="s">
        <v>385</v>
      </c>
      <c r="CS237" s="294" t="s">
        <v>412</v>
      </c>
      <c r="CT237" s="294" t="s">
        <v>400</v>
      </c>
      <c r="CU237" s="301">
        <v>30749000</v>
      </c>
      <c r="DB237">
        <f t="shared" si="119"/>
        <v>29</v>
      </c>
      <c r="DC237" s="595" t="s">
        <v>857</v>
      </c>
      <c r="DD237" s="595" t="s">
        <v>858</v>
      </c>
      <c r="DE237" s="595" t="s">
        <v>694</v>
      </c>
      <c r="DF237" s="286">
        <v>360</v>
      </c>
      <c r="DG237" s="286">
        <v>38840</v>
      </c>
      <c r="DH237" s="286">
        <v>1592760</v>
      </c>
      <c r="DI237" s="286">
        <v>1367636</v>
      </c>
      <c r="DJ237">
        <v>31</v>
      </c>
      <c r="DK237" s="643">
        <f t="shared" si="120"/>
        <v>254.37342899264078</v>
      </c>
      <c r="DL237" s="408">
        <f t="shared" si="121"/>
        <v>9879863.9820741676</v>
      </c>
      <c r="DM237" s="286"/>
      <c r="DN237" s="286"/>
      <c r="FH237">
        <v>33</v>
      </c>
      <c r="FI237" t="s">
        <v>1032</v>
      </c>
      <c r="FJ237" t="s">
        <v>1033</v>
      </c>
      <c r="FK237" t="s">
        <v>689</v>
      </c>
      <c r="FL237" s="286">
        <v>1240</v>
      </c>
      <c r="FM237" s="286">
        <v>127160</v>
      </c>
      <c r="FN237" s="286">
        <v>7101555</v>
      </c>
      <c r="FO237" s="286">
        <v>4740405</v>
      </c>
      <c r="FP237">
        <v>33</v>
      </c>
      <c r="FQ237" s="925">
        <v>3091.5868848384584</v>
      </c>
      <c r="FR237" s="926">
        <v>393126188.27605838</v>
      </c>
      <c r="FS237">
        <v>0</v>
      </c>
    </row>
    <row r="238" spans="1:178">
      <c r="BX238" s="623"/>
      <c r="BY238" t="s">
        <v>1361</v>
      </c>
      <c r="BZ238" t="s">
        <v>1362</v>
      </c>
      <c r="CA238">
        <v>1</v>
      </c>
      <c r="CB238">
        <v>1</v>
      </c>
      <c r="CC238" t="s">
        <v>700</v>
      </c>
      <c r="CD238" s="286">
        <v>59080</v>
      </c>
      <c r="CE238" s="296">
        <v>802120</v>
      </c>
      <c r="CF238" s="261">
        <v>50621138</v>
      </c>
      <c r="CG238" s="261">
        <v>44581690</v>
      </c>
      <c r="CH238" s="202">
        <v>27</v>
      </c>
      <c r="CI238" s="261">
        <f t="shared" si="117"/>
        <v>985.37071332586186</v>
      </c>
      <c r="CJ238" s="261">
        <f t="shared" si="118"/>
        <v>790385556.57294035</v>
      </c>
      <c r="CL238">
        <v>37320</v>
      </c>
      <c r="CM238" s="299">
        <v>2019</v>
      </c>
      <c r="CN238" s="299">
        <v>1550</v>
      </c>
      <c r="CO238" s="300" t="s">
        <v>258</v>
      </c>
      <c r="CP238" s="299">
        <v>755</v>
      </c>
      <c r="CQ238" s="299">
        <v>79</v>
      </c>
      <c r="CR238" s="294" t="s">
        <v>385</v>
      </c>
      <c r="CS238" s="294" t="s">
        <v>412</v>
      </c>
      <c r="CT238" s="294" t="s">
        <v>408</v>
      </c>
      <c r="CU238" s="301">
        <v>95803000</v>
      </c>
      <c r="DB238">
        <f t="shared" si="119"/>
        <v>29</v>
      </c>
      <c r="DC238" s="595" t="s">
        <v>1196</v>
      </c>
      <c r="DD238" s="595" t="s">
        <v>1197</v>
      </c>
      <c r="DE238" s="595" t="s">
        <v>695</v>
      </c>
      <c r="DF238" s="286">
        <v>9012</v>
      </c>
      <c r="DG238" s="286">
        <v>835484</v>
      </c>
      <c r="DH238" s="286">
        <v>32076229</v>
      </c>
      <c r="DI238" s="286">
        <v>15220256.000000002</v>
      </c>
      <c r="DJ238">
        <v>19</v>
      </c>
      <c r="DK238" s="643">
        <f t="shared" si="120"/>
        <v>318.85396595091396</v>
      </c>
      <c r="DL238" s="408">
        <f t="shared" si="121"/>
        <v>266397386.88853341</v>
      </c>
      <c r="DM238" s="286"/>
      <c r="DN238" s="286"/>
      <c r="FH238">
        <v>37</v>
      </c>
      <c r="FI238" t="s">
        <v>883</v>
      </c>
      <c r="FJ238" t="s">
        <v>884</v>
      </c>
      <c r="FK238" t="s">
        <v>689</v>
      </c>
      <c r="FL238" s="286">
        <v>6108</v>
      </c>
      <c r="FM238" s="286">
        <v>167995.99999999997</v>
      </c>
      <c r="FN238" s="286">
        <v>12264516</v>
      </c>
      <c r="FO238" s="286">
        <v>7336597</v>
      </c>
      <c r="FP238">
        <v>36</v>
      </c>
      <c r="FQ238" s="925">
        <v>7463.6077432689826</v>
      </c>
      <c r="FR238" s="926">
        <v>1253856246.4382157</v>
      </c>
      <c r="FS238">
        <v>0</v>
      </c>
    </row>
    <row r="239" spans="1:178">
      <c r="BX239" s="623"/>
      <c r="BY239" t="s">
        <v>1363</v>
      </c>
      <c r="BZ239" t="s">
        <v>1364</v>
      </c>
      <c r="CA239">
        <v>1</v>
      </c>
      <c r="CB239">
        <v>1</v>
      </c>
      <c r="CC239" t="s">
        <v>700</v>
      </c>
      <c r="CD239" s="286">
        <v>14440</v>
      </c>
      <c r="CE239" s="296">
        <v>140800</v>
      </c>
      <c r="CF239" s="261">
        <v>14026703</v>
      </c>
      <c r="CG239" s="261">
        <v>9573405</v>
      </c>
      <c r="CH239" s="202">
        <v>29</v>
      </c>
      <c r="CI239" s="261">
        <f t="shared" si="117"/>
        <v>3610.9071998403551</v>
      </c>
      <c r="CJ239" s="261">
        <f t="shared" si="118"/>
        <v>508415733.73752201</v>
      </c>
      <c r="CL239">
        <v>9360</v>
      </c>
      <c r="CM239" s="299">
        <v>2019</v>
      </c>
      <c r="CN239" s="299">
        <v>1550</v>
      </c>
      <c r="CO239" s="300" t="s">
        <v>258</v>
      </c>
      <c r="CP239" s="299">
        <v>755</v>
      </c>
      <c r="CQ239" s="299">
        <v>80</v>
      </c>
      <c r="CR239" s="294" t="s">
        <v>385</v>
      </c>
      <c r="CS239" s="294" t="s">
        <v>412</v>
      </c>
      <c r="CT239" s="294" t="s">
        <v>409</v>
      </c>
      <c r="CU239" s="301">
        <v>301147000</v>
      </c>
      <c r="DB239">
        <f t="shared" si="119"/>
        <v>29</v>
      </c>
      <c r="DC239" s="595" t="s">
        <v>997</v>
      </c>
      <c r="DD239" s="595" t="s">
        <v>998</v>
      </c>
      <c r="DE239" s="595" t="s">
        <v>690</v>
      </c>
      <c r="DF239" s="286">
        <v>21520</v>
      </c>
      <c r="DG239" s="286">
        <v>2068216</v>
      </c>
      <c r="DH239" s="286">
        <v>78958362</v>
      </c>
      <c r="DI239" s="286">
        <v>36376531</v>
      </c>
      <c r="DJ239">
        <v>19</v>
      </c>
      <c r="DK239" s="643">
        <f t="shared" si="120"/>
        <v>318.85396595091396</v>
      </c>
      <c r="DL239" s="408">
        <f t="shared" si="121"/>
        <v>659458874.04313552</v>
      </c>
      <c r="DM239" s="286"/>
      <c r="DN239" s="286"/>
      <c r="FH239">
        <v>40</v>
      </c>
      <c r="FI239" t="s">
        <v>1034</v>
      </c>
      <c r="FJ239" t="s">
        <v>1035</v>
      </c>
      <c r="FK239" t="s">
        <v>689</v>
      </c>
      <c r="FL239" s="286">
        <v>92548</v>
      </c>
      <c r="FM239" s="286">
        <v>8494444</v>
      </c>
      <c r="FN239" s="286">
        <v>256993118.00000003</v>
      </c>
      <c r="FO239" s="286">
        <v>167716434</v>
      </c>
      <c r="FP239">
        <v>41</v>
      </c>
      <c r="FQ239" s="925">
        <v>143.17663014662168</v>
      </c>
      <c r="FR239" s="926">
        <v>1216205866.8891897</v>
      </c>
      <c r="FS239">
        <v>0</v>
      </c>
    </row>
    <row r="240" spans="1:178">
      <c r="BX240" s="623"/>
      <c r="BY240" t="s">
        <v>1365</v>
      </c>
      <c r="BZ240" t="s">
        <v>1366</v>
      </c>
      <c r="CA240">
        <v>1</v>
      </c>
      <c r="CB240">
        <v>1</v>
      </c>
      <c r="CC240" t="s">
        <v>700</v>
      </c>
      <c r="CD240" s="286">
        <v>1280</v>
      </c>
      <c r="CE240" s="296">
        <v>20880</v>
      </c>
      <c r="CF240" s="261">
        <v>1364480</v>
      </c>
      <c r="CG240" s="261">
        <v>1042233</v>
      </c>
      <c r="CH240" s="202">
        <v>29</v>
      </c>
      <c r="CI240" s="261">
        <f t="shared" si="117"/>
        <v>3610.9071998403551</v>
      </c>
      <c r="CJ240" s="261">
        <f t="shared" si="118"/>
        <v>75395742.332666621</v>
      </c>
      <c r="CL240">
        <v>268200</v>
      </c>
      <c r="CM240" s="299">
        <v>2019</v>
      </c>
      <c r="CN240" s="299">
        <v>1550</v>
      </c>
      <c r="CO240" s="300" t="s">
        <v>258</v>
      </c>
      <c r="CP240" s="299">
        <v>755</v>
      </c>
      <c r="CQ240" s="299">
        <v>81</v>
      </c>
      <c r="CR240" s="294" t="s">
        <v>385</v>
      </c>
      <c r="CS240" s="294" t="s">
        <v>413</v>
      </c>
      <c r="CT240" s="294" t="s">
        <v>402</v>
      </c>
      <c r="CU240" s="301">
        <v>6523000</v>
      </c>
      <c r="DB240">
        <f t="shared" si="119"/>
        <v>29</v>
      </c>
      <c r="DC240" s="595" t="s">
        <v>997</v>
      </c>
      <c r="DD240" s="595" t="s">
        <v>998</v>
      </c>
      <c r="DE240" s="595" t="s">
        <v>691</v>
      </c>
      <c r="DF240" s="286">
        <v>19581</v>
      </c>
      <c r="DG240" s="286">
        <v>1677976</v>
      </c>
      <c r="DH240" s="286">
        <v>64284615</v>
      </c>
      <c r="DI240" s="286">
        <v>21705522</v>
      </c>
      <c r="DJ240">
        <v>19</v>
      </c>
      <c r="DK240" s="643">
        <f t="shared" si="120"/>
        <v>318.85396595091396</v>
      </c>
      <c r="DL240" s="408">
        <f t="shared" si="121"/>
        <v>535029302.37045079</v>
      </c>
      <c r="DM240" s="286"/>
      <c r="DN240" s="286"/>
      <c r="FH240">
        <v>40</v>
      </c>
      <c r="FI240" t="s">
        <v>1036</v>
      </c>
      <c r="FJ240" t="s">
        <v>1037</v>
      </c>
      <c r="FK240" t="s">
        <v>689</v>
      </c>
      <c r="FL240" s="286">
        <v>19700</v>
      </c>
      <c r="FM240" s="286">
        <v>1709932</v>
      </c>
      <c r="FN240" s="286">
        <v>58736488</v>
      </c>
      <c r="FO240" s="286">
        <v>33215659</v>
      </c>
      <c r="FP240">
        <v>41</v>
      </c>
      <c r="FQ240" s="925">
        <v>143.17663014662168</v>
      </c>
      <c r="FR240" s="926">
        <v>244822301.53987309</v>
      </c>
      <c r="FS240">
        <v>0</v>
      </c>
    </row>
    <row r="241" spans="76:178">
      <c r="BX241" s="623"/>
      <c r="BY241" t="s">
        <v>1367</v>
      </c>
      <c r="BZ241" t="s">
        <v>1368</v>
      </c>
      <c r="CA241">
        <v>1</v>
      </c>
      <c r="CB241">
        <v>1</v>
      </c>
      <c r="CC241" t="s">
        <v>700</v>
      </c>
      <c r="CD241" s="286">
        <v>320</v>
      </c>
      <c r="CE241" s="296">
        <v>5120</v>
      </c>
      <c r="CF241" s="261">
        <v>390760</v>
      </c>
      <c r="CG241" s="261">
        <v>282752</v>
      </c>
      <c r="CH241" s="202">
        <v>29</v>
      </c>
      <c r="CI241" s="261">
        <f t="shared" si="117"/>
        <v>3610.9071998403551</v>
      </c>
      <c r="CJ241" s="261">
        <f t="shared" si="118"/>
        <v>18487844.863182619</v>
      </c>
      <c r="CL241">
        <v>1539840</v>
      </c>
      <c r="CM241" s="299">
        <v>2019</v>
      </c>
      <c r="CN241" s="299">
        <v>1550</v>
      </c>
      <c r="CO241" s="300" t="s">
        <v>258</v>
      </c>
      <c r="CP241" s="299">
        <v>755</v>
      </c>
      <c r="CQ241" s="299">
        <v>82</v>
      </c>
      <c r="CR241" s="294" t="s">
        <v>385</v>
      </c>
      <c r="CS241" s="294" t="s">
        <v>413</v>
      </c>
      <c r="CT241" s="294" t="s">
        <v>414</v>
      </c>
      <c r="CU241" s="301">
        <v>1220293000</v>
      </c>
      <c r="DB241">
        <f t="shared" si="119"/>
        <v>29</v>
      </c>
      <c r="DC241" s="595" t="s">
        <v>997</v>
      </c>
      <c r="DD241" s="595" t="s">
        <v>998</v>
      </c>
      <c r="DE241" s="595" t="s">
        <v>698</v>
      </c>
      <c r="DF241" s="286">
        <v>58704</v>
      </c>
      <c r="DG241" s="286">
        <v>6240860</v>
      </c>
      <c r="DH241" s="286">
        <v>71323015</v>
      </c>
      <c r="DI241" s="286">
        <v>24321755</v>
      </c>
      <c r="DJ241">
        <v>19</v>
      </c>
      <c r="DK241" s="643">
        <f t="shared" si="120"/>
        <v>318.85396595091396</v>
      </c>
      <c r="DL241" s="408">
        <f t="shared" si="121"/>
        <v>1989922961.9444208</v>
      </c>
      <c r="DM241" s="286"/>
      <c r="DN241" s="286"/>
      <c r="FH241">
        <v>48</v>
      </c>
      <c r="FI241" t="s">
        <v>1038</v>
      </c>
      <c r="FJ241" t="s">
        <v>1039</v>
      </c>
      <c r="FK241" t="s">
        <v>689</v>
      </c>
      <c r="FL241" s="286">
        <v>640</v>
      </c>
      <c r="FM241" s="286">
        <v>61280</v>
      </c>
      <c r="FN241" s="286">
        <v>3179960</v>
      </c>
      <c r="FO241" s="286">
        <v>1155331</v>
      </c>
      <c r="FP241">
        <v>41</v>
      </c>
      <c r="FQ241" s="925">
        <v>143.17663014662168</v>
      </c>
      <c r="FR241" s="926">
        <v>8773863.8953849766</v>
      </c>
      <c r="FS241">
        <v>0</v>
      </c>
    </row>
    <row r="242" spans="76:178">
      <c r="BX242" s="623"/>
      <c r="BY242" t="s">
        <v>1369</v>
      </c>
      <c r="BZ242" t="s">
        <v>1370</v>
      </c>
      <c r="CA242">
        <v>1</v>
      </c>
      <c r="CB242">
        <v>1</v>
      </c>
      <c r="CC242" t="s">
        <v>700</v>
      </c>
      <c r="CD242" s="286">
        <v>1320</v>
      </c>
      <c r="CE242" s="296">
        <v>26880</v>
      </c>
      <c r="CF242" s="261">
        <v>1576000</v>
      </c>
      <c r="CG242" s="261">
        <v>1275227</v>
      </c>
      <c r="CH242" s="202">
        <v>29</v>
      </c>
      <c r="CI242" s="261">
        <f t="shared" si="117"/>
        <v>3610.9071998403551</v>
      </c>
      <c r="CJ242" s="261">
        <f t="shared" si="118"/>
        <v>97061185.531708747</v>
      </c>
      <c r="CL242">
        <v>109080</v>
      </c>
      <c r="CM242" s="299">
        <v>2019</v>
      </c>
      <c r="CN242" s="299">
        <v>1550</v>
      </c>
      <c r="CO242" s="300" t="s">
        <v>258</v>
      </c>
      <c r="CP242" s="299">
        <v>755</v>
      </c>
      <c r="CQ242" s="299">
        <v>83</v>
      </c>
      <c r="CR242" s="294" t="s">
        <v>377</v>
      </c>
      <c r="CS242" s="294" t="s">
        <v>378</v>
      </c>
      <c r="CT242" s="294" t="s">
        <v>415</v>
      </c>
      <c r="CU242" s="301">
        <v>45055000</v>
      </c>
      <c r="DB242">
        <f t="shared" si="119"/>
        <v>29</v>
      </c>
      <c r="DC242" s="595" t="s">
        <v>1079</v>
      </c>
      <c r="DD242" s="595" t="s">
        <v>1080</v>
      </c>
      <c r="DE242" s="595" t="s">
        <v>691</v>
      </c>
      <c r="DF242" s="286">
        <v>49187</v>
      </c>
      <c r="DG242" s="286">
        <v>2962677</v>
      </c>
      <c r="DH242" s="286">
        <v>87137097</v>
      </c>
      <c r="DI242" s="286">
        <v>42224087</v>
      </c>
      <c r="DJ242">
        <v>19</v>
      </c>
      <c r="DK242" s="643">
        <f t="shared" si="120"/>
        <v>318.85396595091396</v>
      </c>
      <c r="DL242" s="408">
        <f t="shared" si="121"/>
        <v>944661311.28155589</v>
      </c>
      <c r="DM242" s="286"/>
      <c r="DN242" s="286"/>
      <c r="FL242" s="286">
        <f>SUM(FL228:FL241)</f>
        <v>466392</v>
      </c>
      <c r="FM242" s="286">
        <f>SUM(FM228:FM241)</f>
        <v>42668243</v>
      </c>
      <c r="FN242" s="286"/>
      <c r="FO242" s="286"/>
      <c r="FQ242" s="925">
        <f>FR242/FM242</f>
        <v>1087.8913231131735</v>
      </c>
      <c r="FR242" s="408">
        <f>SUM(FR228:FR241)</f>
        <v>46418411332.184402</v>
      </c>
      <c r="FT242" s="927">
        <f>-1*(PMT($EA$23,$EA$24,FQ242,$EA$25*FQ242)/(365*24))</f>
        <v>0.14092911797589378</v>
      </c>
      <c r="FU242" s="790">
        <f>FT242*FV242</f>
        <v>12.893012426394758</v>
      </c>
      <c r="FV242" s="788">
        <f>FM242/FL242</f>
        <v>91.48579521089556</v>
      </c>
    </row>
    <row r="243" spans="76:178">
      <c r="BX243" s="623"/>
      <c r="BY243" t="s">
        <v>1371</v>
      </c>
      <c r="BZ243" t="s">
        <v>1372</v>
      </c>
      <c r="CA243">
        <v>1</v>
      </c>
      <c r="CB243">
        <v>1</v>
      </c>
      <c r="CC243" t="s">
        <v>700</v>
      </c>
      <c r="CD243" s="286">
        <v>9960</v>
      </c>
      <c r="CE243" s="296">
        <v>180880</v>
      </c>
      <c r="CF243" s="261">
        <v>13467880</v>
      </c>
      <c r="CG243" s="261">
        <v>10318132</v>
      </c>
      <c r="CH243" s="202">
        <v>29</v>
      </c>
      <c r="CI243" s="261">
        <f t="shared" si="117"/>
        <v>3610.9071998403551</v>
      </c>
      <c r="CJ243" s="261">
        <f t="shared" si="118"/>
        <v>653140894.30712342</v>
      </c>
      <c r="CL243">
        <v>76000</v>
      </c>
      <c r="CM243" s="299">
        <v>2019</v>
      </c>
      <c r="CN243" s="299">
        <v>1550</v>
      </c>
      <c r="CO243" s="300" t="s">
        <v>258</v>
      </c>
      <c r="CP243" s="299">
        <v>755</v>
      </c>
      <c r="CQ243" s="299">
        <v>84</v>
      </c>
      <c r="CR243" s="294" t="s">
        <v>377</v>
      </c>
      <c r="CS243" s="294" t="s">
        <v>378</v>
      </c>
      <c r="CT243" s="294" t="s">
        <v>416</v>
      </c>
      <c r="CU243" s="301">
        <v>0</v>
      </c>
      <c r="DB243">
        <f t="shared" si="119"/>
        <v>29</v>
      </c>
      <c r="DC243" s="595" t="s">
        <v>1079</v>
      </c>
      <c r="DD243" s="595" t="s">
        <v>1080</v>
      </c>
      <c r="DE243" s="595" t="s">
        <v>698</v>
      </c>
      <c r="DF243" s="286">
        <v>7679</v>
      </c>
      <c r="DG243" s="286">
        <v>505500</v>
      </c>
      <c r="DH243" s="286">
        <v>17426705</v>
      </c>
      <c r="DI243" s="286">
        <v>10287126</v>
      </c>
      <c r="DJ243">
        <v>19</v>
      </c>
      <c r="DK243" s="643">
        <f t="shared" si="120"/>
        <v>318.85396595091396</v>
      </c>
      <c r="DL243" s="408">
        <f t="shared" si="121"/>
        <v>161180679.788187</v>
      </c>
      <c r="DM243" s="286"/>
      <c r="DN243" s="286"/>
      <c r="FL243" s="286"/>
      <c r="FM243" s="286"/>
      <c r="FN243" s="286"/>
      <c r="FO243" s="286"/>
      <c r="FQ243" s="925"/>
      <c r="FR243" s="926"/>
    </row>
    <row r="244" spans="76:178">
      <c r="BX244" s="623"/>
      <c r="BY244" t="s">
        <v>1373</v>
      </c>
      <c r="BZ244" t="s">
        <v>1374</v>
      </c>
      <c r="CA244">
        <v>1</v>
      </c>
      <c r="CB244">
        <v>1</v>
      </c>
      <c r="CC244" t="s">
        <v>700</v>
      </c>
      <c r="CD244" s="286">
        <v>6520</v>
      </c>
      <c r="CE244" s="296">
        <v>90320</v>
      </c>
      <c r="CF244" s="261">
        <v>7996320</v>
      </c>
      <c r="CG244" s="261">
        <v>5769635</v>
      </c>
      <c r="CH244" s="202">
        <v>29</v>
      </c>
      <c r="CI244" s="261">
        <f t="shared" si="117"/>
        <v>3610.9071998403551</v>
      </c>
      <c r="CJ244" s="261">
        <f t="shared" si="118"/>
        <v>326137138.28958088</v>
      </c>
      <c r="CL244">
        <v>802120</v>
      </c>
      <c r="CM244" s="299">
        <v>2019</v>
      </c>
      <c r="CN244" s="299">
        <v>1550</v>
      </c>
      <c r="CO244" s="300" t="s">
        <v>258</v>
      </c>
      <c r="CP244" s="299">
        <v>755</v>
      </c>
      <c r="CQ244" s="299">
        <v>85</v>
      </c>
      <c r="CR244" s="294" t="s">
        <v>339</v>
      </c>
      <c r="CS244" s="294" t="s">
        <v>340</v>
      </c>
      <c r="CT244" s="294" t="s">
        <v>322</v>
      </c>
      <c r="CU244" s="301">
        <v>1032120000</v>
      </c>
      <c r="DB244">
        <f t="shared" si="119"/>
        <v>30</v>
      </c>
      <c r="DC244" s="595" t="s">
        <v>1061</v>
      </c>
      <c r="DD244" s="595" t="s">
        <v>1062</v>
      </c>
      <c r="DE244" s="595" t="s">
        <v>694</v>
      </c>
      <c r="DF244" s="286">
        <v>1200</v>
      </c>
      <c r="DG244" s="286">
        <v>112040</v>
      </c>
      <c r="DH244" s="286">
        <v>7842760</v>
      </c>
      <c r="DI244" s="286">
        <v>4518950</v>
      </c>
      <c r="DJ244">
        <v>24</v>
      </c>
      <c r="DK244" s="643">
        <f t="shared" si="120"/>
        <v>2791.0393486833841</v>
      </c>
      <c r="DL244" s="408">
        <f t="shared" si="121"/>
        <v>312708048.62648636</v>
      </c>
      <c r="DM244" s="286"/>
      <c r="DN244" s="286"/>
      <c r="FH244">
        <v>30</v>
      </c>
      <c r="FI244" t="s">
        <v>1061</v>
      </c>
      <c r="FJ244" t="s">
        <v>1062</v>
      </c>
      <c r="FK244" t="s">
        <v>694</v>
      </c>
      <c r="FL244" s="286">
        <v>1200</v>
      </c>
      <c r="FM244" s="286">
        <v>112040</v>
      </c>
      <c r="FN244" s="286">
        <v>7842760</v>
      </c>
      <c r="FO244" s="286">
        <v>4518950</v>
      </c>
      <c r="FP244">
        <v>24</v>
      </c>
      <c r="FQ244" s="925">
        <v>2791.0393486833841</v>
      </c>
      <c r="FR244" s="926">
        <v>312708048.62648636</v>
      </c>
      <c r="FS244">
        <v>0</v>
      </c>
    </row>
    <row r="245" spans="76:178">
      <c r="BX245" s="623"/>
      <c r="BY245" t="s">
        <v>1125</v>
      </c>
      <c r="BZ245" t="s">
        <v>1126</v>
      </c>
      <c r="CA245">
        <v>1</v>
      </c>
      <c r="CB245">
        <v>1</v>
      </c>
      <c r="CC245" t="s">
        <v>700</v>
      </c>
      <c r="CD245" s="286">
        <v>1080</v>
      </c>
      <c r="CE245" s="296">
        <v>21320</v>
      </c>
      <c r="CF245" s="261">
        <v>1169100</v>
      </c>
      <c r="CG245" s="261">
        <v>850464</v>
      </c>
      <c r="CH245" s="202">
        <v>20</v>
      </c>
      <c r="CI245" s="261">
        <f t="shared" si="117"/>
        <v>878.59703070032845</v>
      </c>
      <c r="CJ245" s="261">
        <f t="shared" si="118"/>
        <v>18731688.694531001</v>
      </c>
      <c r="CL245">
        <v>140800</v>
      </c>
      <c r="CM245" s="299">
        <v>2019</v>
      </c>
      <c r="CN245" s="299">
        <v>1550</v>
      </c>
      <c r="CO245" s="300" t="s">
        <v>258</v>
      </c>
      <c r="CP245" s="299">
        <v>755</v>
      </c>
      <c r="CQ245" s="299">
        <v>86</v>
      </c>
      <c r="CR245" s="294" t="s">
        <v>339</v>
      </c>
      <c r="CS245" s="294" t="s">
        <v>340</v>
      </c>
      <c r="CT245" s="294" t="s">
        <v>323</v>
      </c>
      <c r="CU245" s="301">
        <v>208364000</v>
      </c>
      <c r="DB245">
        <f t="shared" si="119"/>
        <v>32</v>
      </c>
      <c r="DC245" s="595" t="s">
        <v>999</v>
      </c>
      <c r="DD245" s="595" t="s">
        <v>1000</v>
      </c>
      <c r="DE245" s="595" t="s">
        <v>690</v>
      </c>
      <c r="DF245" s="286">
        <v>4720</v>
      </c>
      <c r="DG245" s="286">
        <v>473640</v>
      </c>
      <c r="DH245" s="286">
        <v>18227088</v>
      </c>
      <c r="DI245" s="286">
        <v>10684004</v>
      </c>
      <c r="DJ245">
        <v>31</v>
      </c>
      <c r="DK245" s="643">
        <f t="shared" si="120"/>
        <v>254.37342899264078</v>
      </c>
      <c r="DL245" s="408">
        <f t="shared" si="121"/>
        <v>120481430.90807438</v>
      </c>
      <c r="DM245" s="286"/>
      <c r="DN245" s="286"/>
      <c r="FH245">
        <v>24</v>
      </c>
      <c r="FI245" t="s">
        <v>1041</v>
      </c>
      <c r="FJ245" t="s">
        <v>1042</v>
      </c>
      <c r="FK245" t="s">
        <v>694</v>
      </c>
      <c r="FL245" s="286">
        <v>564</v>
      </c>
      <c r="FM245" s="286">
        <v>48024</v>
      </c>
      <c r="FN245" s="286">
        <v>2626584</v>
      </c>
      <c r="FO245" s="286">
        <v>936886</v>
      </c>
      <c r="FP245">
        <v>26</v>
      </c>
      <c r="FQ245" s="925">
        <v>528.3954317970871</v>
      </c>
      <c r="FR245" s="926">
        <v>25375662.21662331</v>
      </c>
      <c r="FS245">
        <v>0</v>
      </c>
    </row>
    <row r="246" spans="76:178">
      <c r="BX246" s="623"/>
      <c r="BY246" t="s">
        <v>971</v>
      </c>
      <c r="BZ246" t="s">
        <v>972</v>
      </c>
      <c r="CA246">
        <v>1</v>
      </c>
      <c r="CB246">
        <v>1</v>
      </c>
      <c r="CC246" t="s">
        <v>700</v>
      </c>
      <c r="CD246" s="286">
        <v>3400</v>
      </c>
      <c r="CE246" s="296">
        <v>64120</v>
      </c>
      <c r="CF246" s="261">
        <v>3040811</v>
      </c>
      <c r="CG246" s="261">
        <v>2549828</v>
      </c>
      <c r="CH246" s="202">
        <v>20</v>
      </c>
      <c r="CI246" s="261">
        <f t="shared" si="117"/>
        <v>878.59703070032845</v>
      </c>
      <c r="CJ246" s="261">
        <f t="shared" si="118"/>
        <v>56335641.608505063</v>
      </c>
      <c r="CL246">
        <v>20880</v>
      </c>
      <c r="CM246" s="299">
        <v>2019</v>
      </c>
      <c r="CN246" s="299">
        <v>1550</v>
      </c>
      <c r="CO246" s="300" t="s">
        <v>258</v>
      </c>
      <c r="CP246" s="299">
        <v>755</v>
      </c>
      <c r="CQ246" s="299">
        <v>87</v>
      </c>
      <c r="CR246" s="294" t="s">
        <v>339</v>
      </c>
      <c r="CS246" s="294" t="s">
        <v>341</v>
      </c>
      <c r="CT246" s="294" t="s">
        <v>325</v>
      </c>
      <c r="CU246" s="301">
        <v>3016867000</v>
      </c>
      <c r="DB246">
        <f t="shared" si="119"/>
        <v>32</v>
      </c>
      <c r="DC246" s="595" t="s">
        <v>1001</v>
      </c>
      <c r="DD246" s="595" t="s">
        <v>1002</v>
      </c>
      <c r="DE246" s="595" t="s">
        <v>690</v>
      </c>
      <c r="DF246" s="286">
        <v>225964</v>
      </c>
      <c r="DG246" s="286">
        <v>23924101.000000004</v>
      </c>
      <c r="DH246" s="286">
        <v>573243377</v>
      </c>
      <c r="DI246" s="286">
        <v>294483401</v>
      </c>
      <c r="DJ246">
        <v>31</v>
      </c>
      <c r="DK246" s="643">
        <f t="shared" si="120"/>
        <v>254.37342899264078</v>
      </c>
      <c r="DL246" s="408">
        <f t="shared" si="121"/>
        <v>6085655606.9362669</v>
      </c>
      <c r="DM246" s="286"/>
      <c r="DN246" s="286"/>
      <c r="FH246">
        <v>24</v>
      </c>
      <c r="FI246" t="s">
        <v>1043</v>
      </c>
      <c r="FJ246" t="s">
        <v>1044</v>
      </c>
      <c r="FK246" t="s">
        <v>694</v>
      </c>
      <c r="FL246" s="286">
        <v>10824</v>
      </c>
      <c r="FM246" s="286">
        <v>685520</v>
      </c>
      <c r="FN246" s="286">
        <v>12124943</v>
      </c>
      <c r="FO246" s="286">
        <v>12245976.999999998</v>
      </c>
      <c r="FP246">
        <v>26</v>
      </c>
      <c r="FQ246" s="925">
        <v>528.3954317970871</v>
      </c>
      <c r="FR246" s="926">
        <v>362225636.40553916</v>
      </c>
      <c r="FS246">
        <v>0</v>
      </c>
    </row>
    <row r="247" spans="76:178">
      <c r="BX247" s="623"/>
      <c r="BY247" t="s">
        <v>851</v>
      </c>
      <c r="BZ247" t="s">
        <v>852</v>
      </c>
      <c r="CA247">
        <v>1</v>
      </c>
      <c r="CB247">
        <v>1</v>
      </c>
      <c r="CC247" t="s">
        <v>700</v>
      </c>
      <c r="CD247" s="286">
        <v>960</v>
      </c>
      <c r="CE247" s="296">
        <v>19560</v>
      </c>
      <c r="CF247" s="261">
        <v>1333524</v>
      </c>
      <c r="CG247" s="261">
        <v>952729</v>
      </c>
      <c r="CH247" s="202">
        <v>20</v>
      </c>
      <c r="CI247" s="261">
        <f t="shared" si="117"/>
        <v>878.59703070032845</v>
      </c>
      <c r="CJ247" s="261">
        <f t="shared" si="118"/>
        <v>17185357.920498423</v>
      </c>
      <c r="CL247">
        <v>5120</v>
      </c>
      <c r="CM247" s="299">
        <v>2019</v>
      </c>
      <c r="CN247" s="299">
        <v>1550</v>
      </c>
      <c r="CO247" s="300" t="s">
        <v>258</v>
      </c>
      <c r="CP247" s="299">
        <v>755</v>
      </c>
      <c r="CQ247" s="299">
        <v>88</v>
      </c>
      <c r="CR247" s="294" t="s">
        <v>339</v>
      </c>
      <c r="CS247" s="294" t="s">
        <v>341</v>
      </c>
      <c r="CT247" s="294" t="s">
        <v>342</v>
      </c>
      <c r="CU247" s="301">
        <v>4257351000</v>
      </c>
      <c r="DB247">
        <f t="shared" si="119"/>
        <v>32</v>
      </c>
      <c r="DC247" s="595" t="s">
        <v>859</v>
      </c>
      <c r="DD247" s="595" t="s">
        <v>860</v>
      </c>
      <c r="DE247" s="595" t="s">
        <v>687</v>
      </c>
      <c r="DF247" s="286">
        <v>1200</v>
      </c>
      <c r="DG247" s="286">
        <v>106120</v>
      </c>
      <c r="DH247" s="286">
        <v>5447360</v>
      </c>
      <c r="DI247" s="286">
        <v>3267670</v>
      </c>
      <c r="DJ247">
        <v>31</v>
      </c>
      <c r="DK247" s="643">
        <f t="shared" si="120"/>
        <v>254.37342899264078</v>
      </c>
      <c r="DL247" s="408">
        <f t="shared" si="121"/>
        <v>26994108.284699041</v>
      </c>
      <c r="DM247" s="286"/>
      <c r="DN247" s="286"/>
      <c r="FH247">
        <v>24</v>
      </c>
      <c r="FI247" t="s">
        <v>1045</v>
      </c>
      <c r="FJ247" t="s">
        <v>1046</v>
      </c>
      <c r="FK247" t="s">
        <v>694</v>
      </c>
      <c r="FL247" s="286">
        <v>224520</v>
      </c>
      <c r="FM247" s="286">
        <v>21159000</v>
      </c>
      <c r="FN247" s="286">
        <v>1166617014</v>
      </c>
      <c r="FO247" s="286">
        <v>799441161</v>
      </c>
      <c r="FP247">
        <v>26</v>
      </c>
      <c r="FQ247" s="925">
        <v>528.3954317970871</v>
      </c>
      <c r="FR247" s="926">
        <v>11180318941.394566</v>
      </c>
      <c r="FS247">
        <v>0</v>
      </c>
    </row>
    <row r="248" spans="76:178">
      <c r="BX248" s="623"/>
      <c r="BY248" t="s">
        <v>1131</v>
      </c>
      <c r="BZ248" t="s">
        <v>1132</v>
      </c>
      <c r="CA248">
        <v>1</v>
      </c>
      <c r="CB248">
        <v>1</v>
      </c>
      <c r="CC248" t="s">
        <v>700</v>
      </c>
      <c r="CD248" s="286">
        <v>360</v>
      </c>
      <c r="CE248" s="296">
        <v>4840</v>
      </c>
      <c r="CF248" s="261">
        <v>316207</v>
      </c>
      <c r="CG248" s="261">
        <v>221048</v>
      </c>
      <c r="CH248" s="202">
        <v>20</v>
      </c>
      <c r="CI248" s="261">
        <f t="shared" si="117"/>
        <v>878.59703070032845</v>
      </c>
      <c r="CJ248" s="261">
        <f t="shared" si="118"/>
        <v>4252409.6285895901</v>
      </c>
      <c r="CL248">
        <v>26880</v>
      </c>
      <c r="CM248" s="299">
        <v>2019</v>
      </c>
      <c r="CN248" s="299">
        <v>1550</v>
      </c>
      <c r="CO248" s="300" t="s">
        <v>258</v>
      </c>
      <c r="CP248" s="299">
        <v>755</v>
      </c>
      <c r="CQ248" s="299">
        <v>89</v>
      </c>
      <c r="CR248" s="294" t="s">
        <v>377</v>
      </c>
      <c r="CS248" s="294" t="s">
        <v>378</v>
      </c>
      <c r="CT248" s="294" t="s">
        <v>379</v>
      </c>
      <c r="CU248" s="301">
        <v>1809000</v>
      </c>
      <c r="DB248">
        <f t="shared" si="119"/>
        <v>32</v>
      </c>
      <c r="DC248" s="595" t="s">
        <v>861</v>
      </c>
      <c r="DD248" s="595" t="s">
        <v>862</v>
      </c>
      <c r="DE248" s="595" t="s">
        <v>687</v>
      </c>
      <c r="DF248" s="286">
        <v>1240</v>
      </c>
      <c r="DG248" s="286">
        <v>114759.99999999999</v>
      </c>
      <c r="DH248" s="286">
        <v>6979520</v>
      </c>
      <c r="DI248" s="286">
        <v>3827575</v>
      </c>
      <c r="DJ248">
        <v>31</v>
      </c>
      <c r="DK248" s="643">
        <f t="shared" si="120"/>
        <v>254.37342899264078</v>
      </c>
      <c r="DL248" s="408">
        <f t="shared" si="121"/>
        <v>29191894.711195454</v>
      </c>
      <c r="DM248" s="286"/>
      <c r="DN248" s="286"/>
      <c r="FH248">
        <v>24</v>
      </c>
      <c r="FI248" t="s">
        <v>1047</v>
      </c>
      <c r="FJ248" t="s">
        <v>1048</v>
      </c>
      <c r="FK248" t="s">
        <v>694</v>
      </c>
      <c r="FL248" s="286">
        <v>1000</v>
      </c>
      <c r="FM248" s="286">
        <v>95120</v>
      </c>
      <c r="FN248" s="286">
        <v>4311080</v>
      </c>
      <c r="FO248" s="286">
        <v>2618533</v>
      </c>
      <c r="FP248">
        <v>26</v>
      </c>
      <c r="FQ248" s="925">
        <v>528.3954317970871</v>
      </c>
      <c r="FR248" s="926">
        <v>50260973.472538926</v>
      </c>
      <c r="FS248">
        <v>0</v>
      </c>
    </row>
    <row r="249" spans="76:178">
      <c r="BX249" s="623"/>
      <c r="BY249" t="s">
        <v>1135</v>
      </c>
      <c r="BZ249" t="s">
        <v>1136</v>
      </c>
      <c r="CA249">
        <v>1</v>
      </c>
      <c r="CB249">
        <v>1</v>
      </c>
      <c r="CC249" t="s">
        <v>700</v>
      </c>
      <c r="CD249" s="286">
        <v>12320</v>
      </c>
      <c r="CE249" s="296">
        <v>180360</v>
      </c>
      <c r="CF249" s="261">
        <v>19214317</v>
      </c>
      <c r="CG249" s="261">
        <v>9030571</v>
      </c>
      <c r="CH249" s="202">
        <v>20</v>
      </c>
      <c r="CI249" s="261">
        <f t="shared" si="117"/>
        <v>878.59703070032845</v>
      </c>
      <c r="CJ249" s="261">
        <f t="shared" si="118"/>
        <v>158463760.45711124</v>
      </c>
      <c r="CL249">
        <v>180880</v>
      </c>
      <c r="CM249" s="299">
        <v>2019</v>
      </c>
      <c r="CN249" s="299">
        <v>1550</v>
      </c>
      <c r="CO249" s="300" t="s">
        <v>258</v>
      </c>
      <c r="CP249" s="299">
        <v>755</v>
      </c>
      <c r="CQ249" s="299">
        <v>98</v>
      </c>
      <c r="CR249" s="294" t="s">
        <v>343</v>
      </c>
      <c r="CS249" s="294" t="s">
        <v>380</v>
      </c>
      <c r="CT249" s="294" t="s">
        <v>381</v>
      </c>
      <c r="CU249" s="301">
        <v>30429239000</v>
      </c>
      <c r="DB249">
        <f t="shared" si="119"/>
        <v>32</v>
      </c>
      <c r="DC249" s="595" t="s">
        <v>861</v>
      </c>
      <c r="DD249" s="595" t="s">
        <v>862</v>
      </c>
      <c r="DE249" s="595" t="s">
        <v>694</v>
      </c>
      <c r="DF249" s="286">
        <v>2600</v>
      </c>
      <c r="DG249" s="286">
        <v>244136</v>
      </c>
      <c r="DH249" s="286">
        <v>12925968</v>
      </c>
      <c r="DI249" s="286">
        <v>9441568.0000000019</v>
      </c>
      <c r="DJ249">
        <v>31</v>
      </c>
      <c r="DK249" s="643">
        <f t="shared" si="120"/>
        <v>254.37342899264078</v>
      </c>
      <c r="DL249" s="408">
        <f t="shared" si="121"/>
        <v>62101711.46054735</v>
      </c>
      <c r="DM249" s="286"/>
      <c r="DN249" s="286"/>
      <c r="FH249">
        <v>24</v>
      </c>
      <c r="FI249" t="s">
        <v>834</v>
      </c>
      <c r="FJ249" t="s">
        <v>835</v>
      </c>
      <c r="FK249" t="s">
        <v>694</v>
      </c>
      <c r="FL249" s="286">
        <v>1600</v>
      </c>
      <c r="FM249" s="286">
        <v>158640.00000000003</v>
      </c>
      <c r="FN249" s="286">
        <v>8778240</v>
      </c>
      <c r="FO249" s="286">
        <v>5905846</v>
      </c>
      <c r="FP249">
        <v>26</v>
      </c>
      <c r="FQ249" s="925">
        <v>528.3954317970871</v>
      </c>
      <c r="FR249" s="926">
        <v>83824651.300289914</v>
      </c>
      <c r="FS249">
        <v>0</v>
      </c>
    </row>
    <row r="250" spans="76:178">
      <c r="BX250" s="623"/>
      <c r="BY250" t="s">
        <v>1137</v>
      </c>
      <c r="BZ250" t="s">
        <v>1138</v>
      </c>
      <c r="CA250">
        <v>1</v>
      </c>
      <c r="CB250">
        <v>1</v>
      </c>
      <c r="CC250" t="s">
        <v>700</v>
      </c>
      <c r="CD250" s="286">
        <v>360</v>
      </c>
      <c r="CE250" s="296">
        <v>6400</v>
      </c>
      <c r="CF250" s="261">
        <v>184325</v>
      </c>
      <c r="CG250" s="261">
        <v>248081</v>
      </c>
      <c r="CH250" s="202">
        <v>20</v>
      </c>
      <c r="CI250" s="261">
        <f t="shared" si="117"/>
        <v>878.59703070032845</v>
      </c>
      <c r="CJ250" s="261">
        <f t="shared" si="118"/>
        <v>5623020.9964821022</v>
      </c>
      <c r="CL250">
        <v>90320</v>
      </c>
      <c r="CM250" s="299">
        <v>2019</v>
      </c>
      <c r="CN250" s="299">
        <v>1550</v>
      </c>
      <c r="CO250" s="300" t="s">
        <v>258</v>
      </c>
      <c r="CP250" s="299">
        <v>755</v>
      </c>
      <c r="CQ250" s="299">
        <v>99</v>
      </c>
      <c r="CR250" s="294" t="s">
        <v>343</v>
      </c>
      <c r="CS250" s="294" t="s">
        <v>344</v>
      </c>
      <c r="CT250" s="294" t="s">
        <v>322</v>
      </c>
      <c r="CU250" s="301">
        <v>86804947000</v>
      </c>
      <c r="DB250">
        <f t="shared" si="119"/>
        <v>32</v>
      </c>
      <c r="DC250" s="595" t="s">
        <v>1003</v>
      </c>
      <c r="DD250" s="595" t="s">
        <v>1004</v>
      </c>
      <c r="DE250" s="595" t="s">
        <v>690</v>
      </c>
      <c r="DF250" s="286">
        <v>46716</v>
      </c>
      <c r="DG250" s="286">
        <v>4331160</v>
      </c>
      <c r="DH250" s="286">
        <v>157529580</v>
      </c>
      <c r="DI250" s="286">
        <v>79865695</v>
      </c>
      <c r="DJ250">
        <v>31</v>
      </c>
      <c r="DK250" s="643">
        <f t="shared" si="120"/>
        <v>254.37342899264078</v>
      </c>
      <c r="DL250" s="408">
        <f t="shared" si="121"/>
        <v>1101732020.715766</v>
      </c>
      <c r="DM250" s="286"/>
      <c r="DN250" s="286"/>
      <c r="FH250">
        <v>24</v>
      </c>
      <c r="FI250" t="s">
        <v>1049</v>
      </c>
      <c r="FJ250" t="s">
        <v>1050</v>
      </c>
      <c r="FK250" t="s">
        <v>694</v>
      </c>
      <c r="FL250" s="286">
        <v>10920</v>
      </c>
      <c r="FM250" s="286">
        <v>933800</v>
      </c>
      <c r="FN250" s="286">
        <v>62219190</v>
      </c>
      <c r="FO250" s="286">
        <v>40231599</v>
      </c>
      <c r="FP250">
        <v>26</v>
      </c>
      <c r="FQ250" s="925">
        <v>528.3954317970871</v>
      </c>
      <c r="FR250" s="926">
        <v>493415654.21211994</v>
      </c>
      <c r="FS250">
        <v>0</v>
      </c>
    </row>
    <row r="251" spans="76:178">
      <c r="BX251" s="623"/>
      <c r="BY251" t="s">
        <v>1139</v>
      </c>
      <c r="BZ251" t="s">
        <v>1140</v>
      </c>
      <c r="CA251">
        <v>1</v>
      </c>
      <c r="CB251">
        <v>1</v>
      </c>
      <c r="CC251" t="s">
        <v>700</v>
      </c>
      <c r="CD251" s="286">
        <v>5080</v>
      </c>
      <c r="CE251" s="296">
        <v>91400</v>
      </c>
      <c r="CF251" s="261">
        <v>4032624</v>
      </c>
      <c r="CG251" s="261">
        <v>2858816</v>
      </c>
      <c r="CH251" s="202">
        <v>20</v>
      </c>
      <c r="CI251" s="261">
        <f t="shared" si="117"/>
        <v>878.59703070032845</v>
      </c>
      <c r="CJ251" s="261">
        <f t="shared" si="118"/>
        <v>80303768.60601002</v>
      </c>
      <c r="CL251">
        <v>21320</v>
      </c>
      <c r="CM251" s="299">
        <v>2019</v>
      </c>
      <c r="CN251" s="299">
        <v>1550</v>
      </c>
      <c r="CO251" s="300" t="s">
        <v>258</v>
      </c>
      <c r="CP251" s="299">
        <v>755</v>
      </c>
      <c r="CQ251" s="299">
        <v>100</v>
      </c>
      <c r="CR251" s="294" t="s">
        <v>343</v>
      </c>
      <c r="CS251" s="294" t="s">
        <v>344</v>
      </c>
      <c r="CT251" s="294" t="s">
        <v>323</v>
      </c>
      <c r="CU251" s="301">
        <v>16417573000</v>
      </c>
      <c r="DB251">
        <f t="shared" si="119"/>
        <v>32</v>
      </c>
      <c r="DC251" s="595" t="s">
        <v>863</v>
      </c>
      <c r="DD251" s="595" t="s">
        <v>864</v>
      </c>
      <c r="DE251" s="595" t="s">
        <v>687</v>
      </c>
      <c r="DF251" s="286">
        <v>1000</v>
      </c>
      <c r="DG251" s="286">
        <v>40160</v>
      </c>
      <c r="DH251" s="286">
        <v>5052440</v>
      </c>
      <c r="DI251" s="286">
        <v>1987643</v>
      </c>
      <c r="DJ251">
        <v>31</v>
      </c>
      <c r="DK251" s="643">
        <f t="shared" si="120"/>
        <v>254.37342899264078</v>
      </c>
      <c r="DL251" s="408">
        <f t="shared" si="121"/>
        <v>10215636.908344453</v>
      </c>
      <c r="DM251" s="286"/>
      <c r="DN251" s="286"/>
      <c r="FH251">
        <v>24</v>
      </c>
      <c r="FI251" t="s">
        <v>1051</v>
      </c>
      <c r="FJ251" t="s">
        <v>1052</v>
      </c>
      <c r="FK251" t="s">
        <v>694</v>
      </c>
      <c r="FL251" s="286">
        <v>7500</v>
      </c>
      <c r="FM251" s="286">
        <v>608496.00000000012</v>
      </c>
      <c r="FN251" s="286">
        <v>34265131</v>
      </c>
      <c r="FO251" s="286">
        <v>19607701</v>
      </c>
      <c r="FP251">
        <v>26</v>
      </c>
      <c r="FQ251" s="925">
        <v>528.3954317970871</v>
      </c>
      <c r="FR251" s="926">
        <v>321526506.66680038</v>
      </c>
      <c r="FS251">
        <v>0</v>
      </c>
    </row>
    <row r="252" spans="76:178">
      <c r="BX252" s="623"/>
      <c r="BY252" t="s">
        <v>1141</v>
      </c>
      <c r="BZ252" t="s">
        <v>1140</v>
      </c>
      <c r="CA252">
        <v>1</v>
      </c>
      <c r="CB252">
        <v>1</v>
      </c>
      <c r="CC252" t="s">
        <v>700</v>
      </c>
      <c r="CD252" s="286">
        <v>1000</v>
      </c>
      <c r="CE252" s="296">
        <v>13880</v>
      </c>
      <c r="CF252" s="261">
        <v>1292463</v>
      </c>
      <c r="CG252" s="261">
        <v>670490</v>
      </c>
      <c r="CH252" s="202">
        <v>20</v>
      </c>
      <c r="CI252" s="261">
        <f t="shared" si="117"/>
        <v>878.59703070032845</v>
      </c>
      <c r="CJ252" s="261">
        <f t="shared" si="118"/>
        <v>12194926.786120558</v>
      </c>
      <c r="CL252">
        <v>64120</v>
      </c>
      <c r="CM252" s="299">
        <v>2019</v>
      </c>
      <c r="CN252" s="299">
        <v>1550</v>
      </c>
      <c r="CO252" s="300" t="s">
        <v>258</v>
      </c>
      <c r="CP252" s="299">
        <v>755</v>
      </c>
      <c r="CQ252" s="299">
        <v>101</v>
      </c>
      <c r="CR252" s="294" t="s">
        <v>343</v>
      </c>
      <c r="CS252" s="294" t="s">
        <v>344</v>
      </c>
      <c r="CT252" s="294" t="s">
        <v>325</v>
      </c>
      <c r="CU252" s="301">
        <v>266685512000</v>
      </c>
      <c r="DB252">
        <f t="shared" si="119"/>
        <v>32</v>
      </c>
      <c r="DC252" s="595" t="s">
        <v>863</v>
      </c>
      <c r="DD252" s="595" t="s">
        <v>864</v>
      </c>
      <c r="DE252" s="595" t="s">
        <v>690</v>
      </c>
      <c r="DF252" s="286">
        <v>960</v>
      </c>
      <c r="DG252" s="286">
        <v>92680</v>
      </c>
      <c r="DH252" s="286">
        <v>4863360</v>
      </c>
      <c r="DI252" s="286">
        <v>2069438.9999999998</v>
      </c>
      <c r="DJ252">
        <v>31</v>
      </c>
      <c r="DK252" s="643">
        <f t="shared" si="120"/>
        <v>254.37342899264078</v>
      </c>
      <c r="DL252" s="408">
        <f t="shared" si="121"/>
        <v>23575329.399037946</v>
      </c>
      <c r="DM252" s="286"/>
      <c r="DN252" s="286"/>
      <c r="FH252">
        <v>24</v>
      </c>
      <c r="FI252" t="s">
        <v>1053</v>
      </c>
      <c r="FJ252" t="s">
        <v>1054</v>
      </c>
      <c r="FK252" t="s">
        <v>694</v>
      </c>
      <c r="FL252" s="286">
        <v>2168</v>
      </c>
      <c r="FM252" s="286">
        <v>176012</v>
      </c>
      <c r="FN252" s="286">
        <v>10143286</v>
      </c>
      <c r="FO252" s="286">
        <v>6356959</v>
      </c>
      <c r="FP252">
        <v>26</v>
      </c>
      <c r="FQ252" s="925">
        <v>528.3954317970871</v>
      </c>
      <c r="FR252" s="926">
        <v>93003936.741468892</v>
      </c>
      <c r="FS252">
        <v>0</v>
      </c>
    </row>
    <row r="253" spans="76:178">
      <c r="BX253" s="623"/>
      <c r="BY253" t="s">
        <v>977</v>
      </c>
      <c r="BZ253" t="s">
        <v>978</v>
      </c>
      <c r="CA253">
        <v>1</v>
      </c>
      <c r="CB253">
        <v>1</v>
      </c>
      <c r="CC253" t="s">
        <v>700</v>
      </c>
      <c r="CD253" s="286">
        <v>4800</v>
      </c>
      <c r="CE253" s="296">
        <v>73160</v>
      </c>
      <c r="CF253" s="261">
        <v>6381210</v>
      </c>
      <c r="CG253" s="261">
        <v>3702977</v>
      </c>
      <c r="CH253" s="202">
        <v>20</v>
      </c>
      <c r="CI253" s="261">
        <f t="shared" si="117"/>
        <v>878.59703070032845</v>
      </c>
      <c r="CJ253" s="261">
        <f t="shared" si="118"/>
        <v>64278158.766036026</v>
      </c>
      <c r="CL253">
        <v>19560</v>
      </c>
      <c r="CM253" s="299">
        <v>2019</v>
      </c>
      <c r="CN253" s="299">
        <v>1550</v>
      </c>
      <c r="CO253" s="300" t="s">
        <v>258</v>
      </c>
      <c r="CP253" s="299">
        <v>755</v>
      </c>
      <c r="CQ253" s="299">
        <v>102</v>
      </c>
      <c r="CR253" s="294" t="s">
        <v>343</v>
      </c>
      <c r="CS253" s="294" t="s">
        <v>345</v>
      </c>
      <c r="CT253" s="294" t="s">
        <v>346</v>
      </c>
      <c r="CU253" s="301">
        <v>0</v>
      </c>
      <c r="DB253">
        <f t="shared" si="119"/>
        <v>32</v>
      </c>
      <c r="DC253" s="595" t="s">
        <v>865</v>
      </c>
      <c r="DD253" s="595" t="s">
        <v>866</v>
      </c>
      <c r="DE253" s="595" t="s">
        <v>687</v>
      </c>
      <c r="DF253" s="286">
        <v>1040</v>
      </c>
      <c r="DG253" s="286">
        <v>96960</v>
      </c>
      <c r="DH253" s="286">
        <v>4514476</v>
      </c>
      <c r="DI253" s="286">
        <v>2929204</v>
      </c>
      <c r="DJ253">
        <v>31</v>
      </c>
      <c r="DK253" s="643">
        <f t="shared" si="120"/>
        <v>254.37342899264078</v>
      </c>
      <c r="DL253" s="408">
        <f t="shared" si="121"/>
        <v>24664047.675126452</v>
      </c>
      <c r="DM253" s="286"/>
      <c r="DN253" s="286"/>
      <c r="FH253">
        <v>24</v>
      </c>
      <c r="FI253" t="s">
        <v>836</v>
      </c>
      <c r="FJ253" t="s">
        <v>742</v>
      </c>
      <c r="FK253" t="s">
        <v>694</v>
      </c>
      <c r="FL253" s="286">
        <v>15760</v>
      </c>
      <c r="FM253" s="286">
        <v>1562320</v>
      </c>
      <c r="FN253" s="286">
        <v>72586933</v>
      </c>
      <c r="FO253" s="286">
        <v>50379205</v>
      </c>
      <c r="FP253">
        <v>26</v>
      </c>
      <c r="FQ253" s="925">
        <v>528.3954317970871</v>
      </c>
      <c r="FR253" s="926">
        <v>825522751.00522506</v>
      </c>
      <c r="FS253">
        <v>0</v>
      </c>
    </row>
    <row r="254" spans="76:178">
      <c r="BX254" s="623"/>
      <c r="BY254" t="s">
        <v>1144</v>
      </c>
      <c r="BZ254" t="s">
        <v>978</v>
      </c>
      <c r="CA254">
        <v>1</v>
      </c>
      <c r="CB254">
        <v>1</v>
      </c>
      <c r="CC254" t="s">
        <v>700</v>
      </c>
      <c r="CD254" s="286">
        <v>1920</v>
      </c>
      <c r="CE254" s="296">
        <v>35200</v>
      </c>
      <c r="CF254" s="261">
        <v>2563699</v>
      </c>
      <c r="CG254" s="261">
        <v>1523695</v>
      </c>
      <c r="CH254" s="202">
        <v>20</v>
      </c>
      <c r="CI254" s="261">
        <f t="shared" si="117"/>
        <v>878.59703070032845</v>
      </c>
      <c r="CJ254" s="261">
        <f t="shared" si="118"/>
        <v>30926615.480651561</v>
      </c>
      <c r="CL254">
        <v>4840</v>
      </c>
      <c r="CM254" s="299">
        <v>2019</v>
      </c>
      <c r="CN254" s="299">
        <v>1550</v>
      </c>
      <c r="CO254" s="300" t="s">
        <v>258</v>
      </c>
      <c r="CP254" s="299">
        <v>755</v>
      </c>
      <c r="CQ254" s="299">
        <v>103</v>
      </c>
      <c r="CR254" s="294" t="s">
        <v>343</v>
      </c>
      <c r="CS254" s="294" t="s">
        <v>347</v>
      </c>
      <c r="CT254" s="294" t="s">
        <v>348</v>
      </c>
      <c r="CU254" s="301">
        <v>2810057000</v>
      </c>
      <c r="DB254">
        <f t="shared" si="119"/>
        <v>32</v>
      </c>
      <c r="DC254" s="595" t="s">
        <v>865</v>
      </c>
      <c r="DD254" s="595" t="s">
        <v>866</v>
      </c>
      <c r="DE254" s="595" t="s">
        <v>694</v>
      </c>
      <c r="DF254" s="286">
        <v>29280</v>
      </c>
      <c r="DG254" s="286">
        <v>2806960</v>
      </c>
      <c r="DH254" s="286">
        <v>130329197</v>
      </c>
      <c r="DI254" s="286">
        <v>78162949</v>
      </c>
      <c r="DJ254">
        <v>31</v>
      </c>
      <c r="DK254" s="643">
        <f t="shared" si="120"/>
        <v>254.37342899264078</v>
      </c>
      <c r="DL254" s="408">
        <f t="shared" si="121"/>
        <v>714016040.24518299</v>
      </c>
      <c r="DM254" s="286"/>
      <c r="DN254" s="286"/>
      <c r="FH254">
        <v>24</v>
      </c>
      <c r="FI254" t="s">
        <v>1055</v>
      </c>
      <c r="FJ254" t="s">
        <v>1056</v>
      </c>
      <c r="FK254" t="s">
        <v>694</v>
      </c>
      <c r="FL254" s="286">
        <v>1096</v>
      </c>
      <c r="FM254" s="286">
        <v>106540</v>
      </c>
      <c r="FN254" s="286">
        <v>6861920</v>
      </c>
      <c r="FO254" s="286">
        <v>5038798</v>
      </c>
      <c r="FP254">
        <v>26</v>
      </c>
      <c r="FQ254" s="925">
        <v>528.3954317970871</v>
      </c>
      <c r="FR254" s="926">
        <v>56295249.303661659</v>
      </c>
      <c r="FS254">
        <v>0</v>
      </c>
    </row>
    <row r="255" spans="76:178">
      <c r="BX255" s="623"/>
      <c r="BY255" t="s">
        <v>1145</v>
      </c>
      <c r="BZ255" t="s">
        <v>1146</v>
      </c>
      <c r="CA255">
        <v>1</v>
      </c>
      <c r="CB255">
        <v>1</v>
      </c>
      <c r="CC255" t="s">
        <v>700</v>
      </c>
      <c r="CD255" s="286">
        <v>9640</v>
      </c>
      <c r="CE255" s="296">
        <v>152480</v>
      </c>
      <c r="CF255" s="261">
        <v>14060340</v>
      </c>
      <c r="CG255" s="261">
        <v>6941900</v>
      </c>
      <c r="CH255" s="202">
        <v>17</v>
      </c>
      <c r="CI255" s="261">
        <f t="shared" si="117"/>
        <v>519.17405707126977</v>
      </c>
      <c r="CJ255" s="261">
        <f t="shared" si="118"/>
        <v>79163660.222227216</v>
      </c>
      <c r="CL255">
        <v>180360</v>
      </c>
      <c r="CM255" s="299">
        <v>2019</v>
      </c>
      <c r="CN255" s="299">
        <v>1550</v>
      </c>
      <c r="CO255" s="300" t="s">
        <v>258</v>
      </c>
      <c r="CP255" s="299">
        <v>755</v>
      </c>
      <c r="CQ255" s="299">
        <v>104</v>
      </c>
      <c r="CR255" s="294" t="s">
        <v>343</v>
      </c>
      <c r="CS255" s="294" t="s">
        <v>349</v>
      </c>
      <c r="CT255" s="294" t="s">
        <v>350</v>
      </c>
      <c r="CU255" s="301">
        <v>403147328000</v>
      </c>
      <c r="DB255">
        <f t="shared" si="119"/>
        <v>32</v>
      </c>
      <c r="DC255" s="595" t="s">
        <v>867</v>
      </c>
      <c r="DD255" s="595" t="s">
        <v>868</v>
      </c>
      <c r="DE255" s="595" t="s">
        <v>687</v>
      </c>
      <c r="DF255" s="286">
        <v>1240</v>
      </c>
      <c r="DG255" s="286">
        <v>109440</v>
      </c>
      <c r="DH255" s="286">
        <v>8776867</v>
      </c>
      <c r="DI255" s="286">
        <v>6345626</v>
      </c>
      <c r="DJ255">
        <v>13</v>
      </c>
      <c r="DK255" s="643">
        <f t="shared" si="120"/>
        <v>106.2931379319991</v>
      </c>
      <c r="DL255" s="408">
        <f t="shared" si="121"/>
        <v>11632721.015277982</v>
      </c>
      <c r="DM255" s="286"/>
      <c r="DN255" s="286"/>
      <c r="FH255">
        <v>24</v>
      </c>
      <c r="FI255" t="s">
        <v>837</v>
      </c>
      <c r="FJ255" t="s">
        <v>838</v>
      </c>
      <c r="FK255" t="s">
        <v>694</v>
      </c>
      <c r="FL255" s="286">
        <v>3560</v>
      </c>
      <c r="FM255" s="286">
        <v>322800</v>
      </c>
      <c r="FN255" s="286">
        <v>14934061</v>
      </c>
      <c r="FO255" s="286">
        <v>11465628.999999998</v>
      </c>
      <c r="FP255">
        <v>26</v>
      </c>
      <c r="FQ255" s="925">
        <v>528.3954317970871</v>
      </c>
      <c r="FR255" s="926">
        <v>170566045.38409972</v>
      </c>
      <c r="FS255">
        <v>0</v>
      </c>
    </row>
    <row r="256" spans="76:178">
      <c r="BX256" s="623"/>
      <c r="BY256" t="s">
        <v>981</v>
      </c>
      <c r="BZ256" t="s">
        <v>982</v>
      </c>
      <c r="CA256">
        <v>1</v>
      </c>
      <c r="CB256">
        <v>1</v>
      </c>
      <c r="CC256" t="s">
        <v>700</v>
      </c>
      <c r="CD256" s="286">
        <v>3040</v>
      </c>
      <c r="CE256" s="296">
        <v>53520</v>
      </c>
      <c r="CF256" s="261">
        <v>3906355</v>
      </c>
      <c r="CG256" s="261">
        <v>2379042</v>
      </c>
      <c r="CH256" s="202">
        <v>20</v>
      </c>
      <c r="CI256" s="261">
        <f t="shared" si="117"/>
        <v>878.59703070032845</v>
      </c>
      <c r="CJ256" s="261">
        <f t="shared" si="118"/>
        <v>47022513.083081581</v>
      </c>
      <c r="CL256">
        <v>6400</v>
      </c>
      <c r="CM256" s="299">
        <v>2019</v>
      </c>
      <c r="CN256" s="299">
        <v>1550</v>
      </c>
      <c r="CO256" s="300" t="s">
        <v>258</v>
      </c>
      <c r="CP256" s="299">
        <v>755</v>
      </c>
      <c r="CQ256" s="299">
        <v>105</v>
      </c>
      <c r="CR256" s="294" t="s">
        <v>351</v>
      </c>
      <c r="CS256" s="294" t="s">
        <v>352</v>
      </c>
      <c r="CT256" s="294" t="s">
        <v>353</v>
      </c>
      <c r="CU256" s="301">
        <v>358686000</v>
      </c>
      <c r="DB256">
        <f t="shared" si="119"/>
        <v>32</v>
      </c>
      <c r="DC256" s="595" t="s">
        <v>867</v>
      </c>
      <c r="DD256" s="595" t="s">
        <v>868</v>
      </c>
      <c r="DE256" s="595" t="s">
        <v>690</v>
      </c>
      <c r="DF256" s="286">
        <v>65308</v>
      </c>
      <c r="DG256" s="286">
        <v>6149424</v>
      </c>
      <c r="DH256" s="286">
        <v>355605504</v>
      </c>
      <c r="DI256" s="286">
        <v>191005446</v>
      </c>
      <c r="DJ256">
        <v>13</v>
      </c>
      <c r="DK256" s="643">
        <f t="shared" si="120"/>
        <v>106.2931379319991</v>
      </c>
      <c r="DL256" s="408">
        <f t="shared" si="121"/>
        <v>653641573.4343456</v>
      </c>
      <c r="DM256" s="286"/>
      <c r="DN256" s="286"/>
      <c r="FH256">
        <v>24</v>
      </c>
      <c r="FI256" t="s">
        <v>1057</v>
      </c>
      <c r="FJ256" t="s">
        <v>1058</v>
      </c>
      <c r="FK256" t="s">
        <v>694</v>
      </c>
      <c r="FL256" s="286">
        <v>3000</v>
      </c>
      <c r="FM256" s="286">
        <v>302080</v>
      </c>
      <c r="FN256" s="286">
        <v>25405560</v>
      </c>
      <c r="FO256" s="286">
        <v>17261690.000000004</v>
      </c>
      <c r="FP256">
        <v>26</v>
      </c>
      <c r="FQ256" s="925">
        <v>528.3954317970871</v>
      </c>
      <c r="FR256" s="926">
        <v>159617692.03726408</v>
      </c>
      <c r="FS256">
        <v>0</v>
      </c>
    </row>
    <row r="257" spans="76:175">
      <c r="BX257" s="623"/>
      <c r="BY257" t="s">
        <v>985</v>
      </c>
      <c r="BZ257" t="s">
        <v>986</v>
      </c>
      <c r="CA257">
        <v>1</v>
      </c>
      <c r="CB257">
        <v>1</v>
      </c>
      <c r="CC257" t="s">
        <v>700</v>
      </c>
      <c r="CD257" s="286">
        <v>4160</v>
      </c>
      <c r="CE257" s="296">
        <v>72000</v>
      </c>
      <c r="CF257" s="261">
        <v>6904120</v>
      </c>
      <c r="CG257" s="261">
        <v>2907085</v>
      </c>
      <c r="CH257" s="202">
        <v>20</v>
      </c>
      <c r="CI257" s="261">
        <f t="shared" si="117"/>
        <v>878.59703070032845</v>
      </c>
      <c r="CJ257" s="261">
        <f t="shared" si="118"/>
        <v>63258986.210423648</v>
      </c>
      <c r="CL257">
        <v>91400</v>
      </c>
      <c r="CM257" s="299">
        <v>2019</v>
      </c>
      <c r="CN257" s="299">
        <v>1550</v>
      </c>
      <c r="CO257" s="300" t="s">
        <v>258</v>
      </c>
      <c r="CP257" s="299">
        <v>755</v>
      </c>
      <c r="CQ257" s="299">
        <v>106</v>
      </c>
      <c r="CR257" s="294" t="s">
        <v>351</v>
      </c>
      <c r="CS257" s="294" t="s">
        <v>354</v>
      </c>
      <c r="CT257" s="294" t="s">
        <v>355</v>
      </c>
      <c r="CU257" s="301">
        <v>1243000</v>
      </c>
      <c r="DB257">
        <f t="shared" si="119"/>
        <v>32</v>
      </c>
      <c r="DC257" s="595" t="s">
        <v>867</v>
      </c>
      <c r="DD257" s="595" t="s">
        <v>868</v>
      </c>
      <c r="DE257" s="595" t="s">
        <v>691</v>
      </c>
      <c r="DF257" s="286">
        <v>2480</v>
      </c>
      <c r="DG257" s="286">
        <v>247428</v>
      </c>
      <c r="DH257" s="286">
        <v>6626284</v>
      </c>
      <c r="DI257" s="286">
        <v>5779770</v>
      </c>
      <c r="DJ257">
        <v>13</v>
      </c>
      <c r="DK257" s="643">
        <f t="shared" si="120"/>
        <v>106.2931379319991</v>
      </c>
      <c r="DL257" s="408">
        <f t="shared" si="121"/>
        <v>26299898.532238673</v>
      </c>
      <c r="DM257" s="286"/>
      <c r="DN257" s="286"/>
      <c r="FH257">
        <v>29</v>
      </c>
      <c r="FI257" t="s">
        <v>857</v>
      </c>
      <c r="FJ257" t="s">
        <v>858</v>
      </c>
      <c r="FK257" t="s">
        <v>694</v>
      </c>
      <c r="FL257" s="286">
        <v>360</v>
      </c>
      <c r="FM257" s="286">
        <v>38840</v>
      </c>
      <c r="FN257" s="286">
        <v>1592760</v>
      </c>
      <c r="FO257" s="286">
        <v>1367636</v>
      </c>
      <c r="FP257">
        <v>31</v>
      </c>
      <c r="FQ257" s="925">
        <v>254.37342899264078</v>
      </c>
      <c r="FR257" s="926">
        <v>9879863.9820741676</v>
      </c>
      <c r="FS257">
        <v>0</v>
      </c>
    </row>
    <row r="258" spans="76:175">
      <c r="BX258" s="623"/>
      <c r="BY258" t="s">
        <v>1156</v>
      </c>
      <c r="BZ258" t="s">
        <v>1157</v>
      </c>
      <c r="CA258">
        <v>1</v>
      </c>
      <c r="CB258">
        <v>1</v>
      </c>
      <c r="CC258" t="s">
        <v>700</v>
      </c>
      <c r="CD258" s="286">
        <v>480</v>
      </c>
      <c r="CE258" s="296">
        <v>6840</v>
      </c>
      <c r="CF258" s="261">
        <v>334125</v>
      </c>
      <c r="CG258" s="261">
        <v>253921</v>
      </c>
      <c r="CH258" s="202">
        <v>20</v>
      </c>
      <c r="CI258" s="261">
        <f t="shared" si="117"/>
        <v>878.59703070032845</v>
      </c>
      <c r="CJ258" s="261">
        <f t="shared" si="118"/>
        <v>6009603.6899902467</v>
      </c>
      <c r="CL258">
        <v>13880</v>
      </c>
      <c r="CM258" s="299">
        <v>2019</v>
      </c>
      <c r="CN258" s="299">
        <v>1550</v>
      </c>
      <c r="CO258" s="300" t="s">
        <v>258</v>
      </c>
      <c r="CP258" s="299">
        <v>755</v>
      </c>
      <c r="CQ258" s="299">
        <v>107</v>
      </c>
      <c r="CR258" s="294" t="s">
        <v>351</v>
      </c>
      <c r="CS258" s="294" t="s">
        <v>356</v>
      </c>
      <c r="CT258" s="294" t="s">
        <v>357</v>
      </c>
      <c r="CU258" s="301">
        <v>359929000</v>
      </c>
      <c r="DB258">
        <f t="shared" si="119"/>
        <v>32</v>
      </c>
      <c r="DC258" s="595" t="s">
        <v>867</v>
      </c>
      <c r="DD258" s="595" t="s">
        <v>868</v>
      </c>
      <c r="DE258" s="595" t="s">
        <v>695</v>
      </c>
      <c r="DF258" s="286">
        <v>15560</v>
      </c>
      <c r="DG258" s="286">
        <v>1567600</v>
      </c>
      <c r="DH258" s="286">
        <v>111277600</v>
      </c>
      <c r="DI258" s="286">
        <v>39431467</v>
      </c>
      <c r="DJ258">
        <v>13</v>
      </c>
      <c r="DK258" s="643">
        <f t="shared" si="120"/>
        <v>106.2931379319991</v>
      </c>
      <c r="DL258" s="408">
        <f t="shared" si="121"/>
        <v>166625123.02220178</v>
      </c>
      <c r="DM258" s="286"/>
      <c r="DN258" s="286"/>
      <c r="FH258">
        <v>32</v>
      </c>
      <c r="FI258" t="s">
        <v>861</v>
      </c>
      <c r="FJ258" t="s">
        <v>862</v>
      </c>
      <c r="FK258" t="s">
        <v>694</v>
      </c>
      <c r="FL258" s="286">
        <v>2600</v>
      </c>
      <c r="FM258" s="286">
        <v>244136</v>
      </c>
      <c r="FN258" s="286">
        <v>12925968</v>
      </c>
      <c r="FO258" s="286">
        <v>9441568.0000000019</v>
      </c>
      <c r="FP258">
        <v>31</v>
      </c>
      <c r="FQ258" s="925">
        <v>254.37342899264078</v>
      </c>
      <c r="FR258" s="926">
        <v>62101711.46054735</v>
      </c>
      <c r="FS258">
        <v>0</v>
      </c>
    </row>
    <row r="259" spans="76:175">
      <c r="BX259" s="623"/>
      <c r="BY259" t="s">
        <v>987</v>
      </c>
      <c r="BZ259" t="s">
        <v>988</v>
      </c>
      <c r="CA259">
        <v>1</v>
      </c>
      <c r="CB259">
        <v>1</v>
      </c>
      <c r="CC259" t="s">
        <v>700</v>
      </c>
      <c r="CD259" s="286">
        <v>2440</v>
      </c>
      <c r="CE259" s="296">
        <v>38960</v>
      </c>
      <c r="CF259" s="261">
        <v>3053349</v>
      </c>
      <c r="CG259" s="261">
        <v>1748379</v>
      </c>
      <c r="CH259" s="202">
        <v>20</v>
      </c>
      <c r="CI259" s="261">
        <f t="shared" ref="CI259:CI322" si="122">VLOOKUP($CH259,$DC$341:$DG$383,5)</f>
        <v>878.59703070032845</v>
      </c>
      <c r="CJ259" s="261">
        <f t="shared" ref="CJ259:CJ322" si="123">CI259*CE259</f>
        <v>34230140.316084795</v>
      </c>
      <c r="CL259">
        <v>73160</v>
      </c>
      <c r="CM259" s="299">
        <v>2019</v>
      </c>
      <c r="CN259" s="299">
        <v>1550</v>
      </c>
      <c r="CO259" s="300" t="s">
        <v>258</v>
      </c>
      <c r="CP259" s="299">
        <v>755</v>
      </c>
      <c r="CQ259" s="299">
        <v>108</v>
      </c>
      <c r="CR259" s="294" t="s">
        <v>358</v>
      </c>
      <c r="CS259" s="294" t="s">
        <v>359</v>
      </c>
      <c r="CT259" s="294" t="s">
        <v>360</v>
      </c>
      <c r="CU259" s="301">
        <v>194044925000</v>
      </c>
      <c r="DB259">
        <f t="shared" si="119"/>
        <v>32</v>
      </c>
      <c r="DC259" s="595" t="s">
        <v>1005</v>
      </c>
      <c r="DD259" s="595" t="s">
        <v>1006</v>
      </c>
      <c r="DE259" s="595" t="s">
        <v>690</v>
      </c>
      <c r="DF259" s="286">
        <v>600</v>
      </c>
      <c r="DG259" s="286">
        <v>57480</v>
      </c>
      <c r="DH259" s="286">
        <v>3455320</v>
      </c>
      <c r="DI259" s="286">
        <v>1516556</v>
      </c>
      <c r="DJ259">
        <v>31</v>
      </c>
      <c r="DK259" s="643">
        <f t="shared" si="120"/>
        <v>254.37342899264078</v>
      </c>
      <c r="DL259" s="408">
        <f t="shared" si="121"/>
        <v>14621384.698496992</v>
      </c>
      <c r="DM259" s="286"/>
      <c r="DN259" s="286"/>
      <c r="FH259">
        <v>32</v>
      </c>
      <c r="FI259" t="s">
        <v>865</v>
      </c>
      <c r="FJ259" t="s">
        <v>866</v>
      </c>
      <c r="FK259" t="s">
        <v>694</v>
      </c>
      <c r="FL259" s="286">
        <v>29280</v>
      </c>
      <c r="FM259" s="286">
        <v>2806960</v>
      </c>
      <c r="FN259" s="286">
        <v>130329197</v>
      </c>
      <c r="FO259" s="286">
        <v>78162949</v>
      </c>
      <c r="FP259">
        <v>31</v>
      </c>
      <c r="FQ259" s="925">
        <v>254.37342899264078</v>
      </c>
      <c r="FR259" s="926">
        <v>714016040.24518299</v>
      </c>
      <c r="FS259">
        <v>0</v>
      </c>
    </row>
    <row r="260" spans="76:175">
      <c r="BX260" s="623"/>
      <c r="BY260" t="s">
        <v>989</v>
      </c>
      <c r="BZ260" t="s">
        <v>990</v>
      </c>
      <c r="CA260">
        <v>1</v>
      </c>
      <c r="CB260">
        <v>1</v>
      </c>
      <c r="CC260" t="s">
        <v>700</v>
      </c>
      <c r="CD260" s="286">
        <v>30120</v>
      </c>
      <c r="CE260" s="296">
        <v>433520</v>
      </c>
      <c r="CF260" s="261">
        <v>30517093</v>
      </c>
      <c r="CG260" s="261">
        <v>20331179</v>
      </c>
      <c r="CH260" s="202">
        <v>24</v>
      </c>
      <c r="CI260" s="261">
        <f t="shared" si="122"/>
        <v>2791.0393486833841</v>
      </c>
      <c r="CJ260" s="261">
        <f t="shared" si="123"/>
        <v>1209971378.4412208</v>
      </c>
      <c r="CL260">
        <v>35200</v>
      </c>
      <c r="CM260" s="299">
        <v>2019</v>
      </c>
      <c r="CN260" s="299">
        <v>1550</v>
      </c>
      <c r="CO260" s="300" t="s">
        <v>258</v>
      </c>
      <c r="CP260" s="299">
        <v>755</v>
      </c>
      <c r="CQ260" s="299">
        <v>109</v>
      </c>
      <c r="CR260" s="294" t="s">
        <v>358</v>
      </c>
      <c r="CS260" s="294" t="s">
        <v>359</v>
      </c>
      <c r="CT260" s="294" t="s">
        <v>361</v>
      </c>
      <c r="CU260" s="301">
        <v>0</v>
      </c>
      <c r="DB260">
        <f t="shared" si="119"/>
        <v>32</v>
      </c>
      <c r="DC260" s="595" t="s">
        <v>1007</v>
      </c>
      <c r="DD260" s="595" t="s">
        <v>1008</v>
      </c>
      <c r="DE260" s="595" t="s">
        <v>690</v>
      </c>
      <c r="DF260" s="286">
        <v>1278</v>
      </c>
      <c r="DG260" s="286">
        <v>115636</v>
      </c>
      <c r="DH260" s="286">
        <v>9222733</v>
      </c>
      <c r="DI260" s="286">
        <v>3485427</v>
      </c>
      <c r="DJ260">
        <v>31</v>
      </c>
      <c r="DK260" s="643">
        <f t="shared" si="120"/>
        <v>254.37342899264078</v>
      </c>
      <c r="DL260" s="408">
        <f t="shared" si="121"/>
        <v>29414725.834993009</v>
      </c>
      <c r="DM260" s="286"/>
      <c r="DN260" s="286"/>
      <c r="FH260">
        <v>33</v>
      </c>
      <c r="FI260" t="s">
        <v>1022</v>
      </c>
      <c r="FJ260" t="s">
        <v>1023</v>
      </c>
      <c r="FK260" t="s">
        <v>694</v>
      </c>
      <c r="FL260" s="286">
        <v>20380</v>
      </c>
      <c r="FM260" s="286">
        <v>2000428</v>
      </c>
      <c r="FN260" s="286">
        <v>27778578</v>
      </c>
      <c r="FO260" s="286">
        <v>18118928</v>
      </c>
      <c r="FP260">
        <v>32</v>
      </c>
      <c r="FQ260" s="925">
        <v>1383.6810951873679</v>
      </c>
      <c r="FR260" s="926">
        <v>2767954405.8834758</v>
      </c>
      <c r="FS260">
        <v>0</v>
      </c>
    </row>
    <row r="261" spans="76:175">
      <c r="BX261" s="623"/>
      <c r="BY261" t="s">
        <v>853</v>
      </c>
      <c r="BZ261" t="s">
        <v>854</v>
      </c>
      <c r="CA261">
        <v>1</v>
      </c>
      <c r="CB261">
        <v>1</v>
      </c>
      <c r="CC261" t="s">
        <v>700</v>
      </c>
      <c r="CD261" s="286">
        <v>6560</v>
      </c>
      <c r="CE261" s="296">
        <v>100760</v>
      </c>
      <c r="CF261" s="261">
        <v>9213616</v>
      </c>
      <c r="CG261" s="261">
        <v>6533442</v>
      </c>
      <c r="CH261" s="202">
        <v>24</v>
      </c>
      <c r="CI261" s="261">
        <f t="shared" si="122"/>
        <v>2791.0393486833841</v>
      </c>
      <c r="CJ261" s="261">
        <f t="shared" si="123"/>
        <v>281225124.77333778</v>
      </c>
      <c r="CL261">
        <v>152480</v>
      </c>
      <c r="CM261" s="299">
        <v>2019</v>
      </c>
      <c r="CN261" s="299">
        <v>1550</v>
      </c>
      <c r="CO261" s="300" t="s">
        <v>258</v>
      </c>
      <c r="CP261" s="299">
        <v>755</v>
      </c>
      <c r="CQ261" s="299">
        <v>110</v>
      </c>
      <c r="CR261" s="294" t="s">
        <v>358</v>
      </c>
      <c r="CS261" s="294" t="s">
        <v>359</v>
      </c>
      <c r="CT261" s="294" t="s">
        <v>362</v>
      </c>
      <c r="CU261" s="301">
        <v>194044925000</v>
      </c>
      <c r="DB261">
        <f t="shared" si="119"/>
        <v>32</v>
      </c>
      <c r="DC261" s="595" t="s">
        <v>1009</v>
      </c>
      <c r="DD261" s="595" t="s">
        <v>1010</v>
      </c>
      <c r="DE261" s="595" t="s">
        <v>690</v>
      </c>
      <c r="DF261" s="286">
        <v>67412</v>
      </c>
      <c r="DG261" s="286">
        <v>6596240</v>
      </c>
      <c r="DH261" s="286">
        <v>272388496.00000006</v>
      </c>
      <c r="DI261" s="286">
        <v>135790008</v>
      </c>
      <c r="DJ261">
        <v>13</v>
      </c>
      <c r="DK261" s="643">
        <f t="shared" si="120"/>
        <v>106.2931379319991</v>
      </c>
      <c r="DL261" s="408">
        <f t="shared" si="121"/>
        <v>701135048.15256977</v>
      </c>
      <c r="DM261" s="286"/>
      <c r="DN261" s="286"/>
      <c r="FH261">
        <v>33</v>
      </c>
      <c r="FI261" t="s">
        <v>1063</v>
      </c>
      <c r="FJ261" t="s">
        <v>1064</v>
      </c>
      <c r="FK261" t="s">
        <v>694</v>
      </c>
      <c r="FL261" s="286">
        <v>33676</v>
      </c>
      <c r="FM261" s="286">
        <v>2920840</v>
      </c>
      <c r="FN261" s="286">
        <v>209296711</v>
      </c>
      <c r="FO261" s="286">
        <v>126218171</v>
      </c>
      <c r="FP261">
        <v>32</v>
      </c>
      <c r="FQ261" s="925">
        <v>1383.6810951873679</v>
      </c>
      <c r="FR261" s="926">
        <v>4041511090.0670714</v>
      </c>
      <c r="FS261">
        <v>0</v>
      </c>
    </row>
    <row r="262" spans="76:175">
      <c r="BX262" s="623"/>
      <c r="BY262" t="s">
        <v>1375</v>
      </c>
      <c r="BZ262" t="s">
        <v>1376</v>
      </c>
      <c r="CA262">
        <v>1</v>
      </c>
      <c r="CB262">
        <v>1</v>
      </c>
      <c r="CC262" t="s">
        <v>700</v>
      </c>
      <c r="CD262" s="286">
        <v>11600</v>
      </c>
      <c r="CE262" s="296">
        <v>172720</v>
      </c>
      <c r="CF262" s="261">
        <v>21474447</v>
      </c>
      <c r="CG262" s="261">
        <v>12715517</v>
      </c>
      <c r="CH262" s="202">
        <v>21</v>
      </c>
      <c r="CI262" s="261">
        <f t="shared" si="122"/>
        <v>49647.237564198629</v>
      </c>
      <c r="CJ262" s="261">
        <f t="shared" si="123"/>
        <v>8575070872.0883875</v>
      </c>
      <c r="CL262">
        <v>53520</v>
      </c>
      <c r="CM262" s="299">
        <v>2019</v>
      </c>
      <c r="CN262" s="299">
        <v>1550</v>
      </c>
      <c r="CO262" s="300" t="s">
        <v>258</v>
      </c>
      <c r="CP262" s="299">
        <v>755</v>
      </c>
      <c r="CQ262" s="299">
        <v>111</v>
      </c>
      <c r="CR262" s="294" t="s">
        <v>358</v>
      </c>
      <c r="CS262" s="294" t="s">
        <v>363</v>
      </c>
      <c r="CT262" s="294" t="s">
        <v>364</v>
      </c>
      <c r="CU262" s="301">
        <v>459430000</v>
      </c>
      <c r="DB262">
        <f t="shared" si="119"/>
        <v>32</v>
      </c>
      <c r="DC262" s="595" t="s">
        <v>1009</v>
      </c>
      <c r="DD262" s="595" t="s">
        <v>1010</v>
      </c>
      <c r="DE262" s="595" t="s">
        <v>695</v>
      </c>
      <c r="DF262" s="286">
        <v>9440</v>
      </c>
      <c r="DG262" s="286">
        <v>951960</v>
      </c>
      <c r="DH262" s="286">
        <v>38174860</v>
      </c>
      <c r="DI262" s="286">
        <v>17264075</v>
      </c>
      <c r="DJ262">
        <v>13</v>
      </c>
      <c r="DK262" s="643">
        <f t="shared" si="120"/>
        <v>106.2931379319991</v>
      </c>
      <c r="DL262" s="408">
        <f t="shared" si="121"/>
        <v>101186815.58574586</v>
      </c>
      <c r="DM262" s="286"/>
      <c r="DN262" s="286"/>
      <c r="FH262">
        <v>33</v>
      </c>
      <c r="FI262" t="s">
        <v>869</v>
      </c>
      <c r="FJ262" t="s">
        <v>870</v>
      </c>
      <c r="FK262" t="s">
        <v>694</v>
      </c>
      <c r="FL262" s="286">
        <v>1800</v>
      </c>
      <c r="FM262" s="286">
        <v>162640</v>
      </c>
      <c r="FN262" s="286">
        <v>9749830</v>
      </c>
      <c r="FO262" s="286">
        <v>5318567.9999999991</v>
      </c>
      <c r="FP262">
        <v>32</v>
      </c>
      <c r="FQ262" s="925">
        <v>1383.6810951873679</v>
      </c>
      <c r="FR262" s="926">
        <v>225041893.32127351</v>
      </c>
      <c r="FS262">
        <v>0</v>
      </c>
    </row>
    <row r="263" spans="76:175">
      <c r="BX263" s="623"/>
      <c r="BY263" t="s">
        <v>1162</v>
      </c>
      <c r="BZ263" t="s">
        <v>1163</v>
      </c>
      <c r="CA263">
        <v>1</v>
      </c>
      <c r="CB263">
        <v>1</v>
      </c>
      <c r="CC263" t="s">
        <v>700</v>
      </c>
      <c r="CD263" s="286">
        <v>48400</v>
      </c>
      <c r="CE263" s="296">
        <v>681280</v>
      </c>
      <c r="CF263" s="261">
        <v>44902277</v>
      </c>
      <c r="CG263" s="261">
        <v>32988602</v>
      </c>
      <c r="CH263" s="202">
        <v>23</v>
      </c>
      <c r="CI263" s="261">
        <f t="shared" si="122"/>
        <v>3119.4415649807693</v>
      </c>
      <c r="CJ263" s="261">
        <f t="shared" si="123"/>
        <v>2125213149.3900986</v>
      </c>
      <c r="CL263">
        <v>72000</v>
      </c>
      <c r="CM263" s="299">
        <v>2019</v>
      </c>
      <c r="CN263" s="299">
        <v>1550</v>
      </c>
      <c r="CO263" s="300" t="s">
        <v>258</v>
      </c>
      <c r="CP263" s="299">
        <v>755</v>
      </c>
      <c r="CQ263" s="299">
        <v>112</v>
      </c>
      <c r="CR263" s="294" t="s">
        <v>358</v>
      </c>
      <c r="CS263" s="294" t="s">
        <v>363</v>
      </c>
      <c r="CT263" s="294" t="s">
        <v>365</v>
      </c>
      <c r="CU263" s="301">
        <v>0</v>
      </c>
      <c r="DB263">
        <f t="shared" si="119"/>
        <v>33</v>
      </c>
      <c r="DC263" s="595" t="s">
        <v>1020</v>
      </c>
      <c r="DD263" s="595" t="s">
        <v>1021</v>
      </c>
      <c r="DE263" s="595" t="s">
        <v>689</v>
      </c>
      <c r="DF263" s="286">
        <v>5856</v>
      </c>
      <c r="DG263" s="286">
        <v>566376</v>
      </c>
      <c r="DH263" s="286">
        <v>12037852</v>
      </c>
      <c r="DI263" s="286">
        <v>8271922.0000000009</v>
      </c>
      <c r="DJ263">
        <v>32</v>
      </c>
      <c r="DK263" s="643">
        <f t="shared" si="120"/>
        <v>1383.6810951873679</v>
      </c>
      <c r="DL263" s="408">
        <f t="shared" si="121"/>
        <v>783683763.96784067</v>
      </c>
      <c r="DM263" s="286"/>
      <c r="DN263" s="286"/>
      <c r="FH263">
        <v>33</v>
      </c>
      <c r="FI263" t="s">
        <v>1024</v>
      </c>
      <c r="FJ263" t="s">
        <v>1025</v>
      </c>
      <c r="FK263" t="s">
        <v>694</v>
      </c>
      <c r="FL263" s="286">
        <v>8840</v>
      </c>
      <c r="FM263" s="286">
        <v>784760</v>
      </c>
      <c r="FN263" s="286">
        <v>49751912</v>
      </c>
      <c r="FO263" s="286">
        <v>27260938.000000004</v>
      </c>
      <c r="FP263">
        <v>32</v>
      </c>
      <c r="FQ263" s="925">
        <v>1383.6810951873679</v>
      </c>
      <c r="FR263" s="926">
        <v>1085857576.2592387</v>
      </c>
      <c r="FS263">
        <v>0</v>
      </c>
    </row>
    <row r="264" spans="76:175">
      <c r="BX264" s="623"/>
      <c r="BY264" t="s">
        <v>1377</v>
      </c>
      <c r="BZ264" t="s">
        <v>1378</v>
      </c>
      <c r="CA264">
        <v>1</v>
      </c>
      <c r="CB264">
        <v>1</v>
      </c>
      <c r="CC264" t="s">
        <v>700</v>
      </c>
      <c r="CD264" s="286">
        <v>3400</v>
      </c>
      <c r="CE264" s="296">
        <v>59920</v>
      </c>
      <c r="CF264" s="261">
        <v>2169348</v>
      </c>
      <c r="CG264" s="261">
        <v>2507012</v>
      </c>
      <c r="CH264" s="202">
        <v>23</v>
      </c>
      <c r="CI264" s="261">
        <f t="shared" si="122"/>
        <v>3119.4415649807693</v>
      </c>
      <c r="CJ264" s="261">
        <f t="shared" si="123"/>
        <v>186916938.57364771</v>
      </c>
      <c r="CL264">
        <v>6840</v>
      </c>
      <c r="CM264" s="299">
        <v>2019</v>
      </c>
      <c r="CN264" s="299">
        <v>1550</v>
      </c>
      <c r="CO264" s="300" t="s">
        <v>258</v>
      </c>
      <c r="CP264" s="299">
        <v>755</v>
      </c>
      <c r="CQ264" s="299">
        <v>113</v>
      </c>
      <c r="CR264" s="294" t="s">
        <v>358</v>
      </c>
      <c r="CS264" s="294" t="s">
        <v>363</v>
      </c>
      <c r="CT264" s="294" t="s">
        <v>366</v>
      </c>
      <c r="CU264" s="301">
        <v>459430000</v>
      </c>
      <c r="DB264">
        <f t="shared" si="119"/>
        <v>33</v>
      </c>
      <c r="DC264" s="595" t="s">
        <v>1020</v>
      </c>
      <c r="DD264" s="595" t="s">
        <v>1021</v>
      </c>
      <c r="DE264" s="595" t="s">
        <v>688</v>
      </c>
      <c r="DF264" s="286">
        <v>4886</v>
      </c>
      <c r="DG264" s="286">
        <v>493000</v>
      </c>
      <c r="DH264" s="286">
        <v>10018641</v>
      </c>
      <c r="DI264" s="286">
        <v>5707657</v>
      </c>
      <c r="DJ264">
        <v>32</v>
      </c>
      <c r="DK264" s="643">
        <f t="shared" si="120"/>
        <v>1383.6810951873679</v>
      </c>
      <c r="DL264" s="408">
        <f t="shared" si="121"/>
        <v>682154779.92737234</v>
      </c>
      <c r="DM264" s="286"/>
      <c r="DN264" s="286"/>
      <c r="FH264">
        <v>33</v>
      </c>
      <c r="FI264" t="s">
        <v>1026</v>
      </c>
      <c r="FJ264" t="s">
        <v>1027</v>
      </c>
      <c r="FK264" t="s">
        <v>694</v>
      </c>
      <c r="FL264" s="286">
        <v>13952</v>
      </c>
      <c r="FM264" s="286">
        <v>1167380</v>
      </c>
      <c r="FN264" s="286">
        <v>113162565</v>
      </c>
      <c r="FO264" s="286">
        <v>65673825</v>
      </c>
      <c r="FP264">
        <v>32</v>
      </c>
      <c r="FQ264" s="925">
        <v>1383.6810951873679</v>
      </c>
      <c r="FR264" s="926">
        <v>1615281636.8998296</v>
      </c>
      <c r="FS264">
        <v>0</v>
      </c>
    </row>
    <row r="265" spans="76:175">
      <c r="BX265" s="623"/>
      <c r="BY265" t="s">
        <v>1379</v>
      </c>
      <c r="BZ265" t="s">
        <v>1380</v>
      </c>
      <c r="CA265">
        <v>1</v>
      </c>
      <c r="CB265">
        <v>1</v>
      </c>
      <c r="CC265" t="s">
        <v>700</v>
      </c>
      <c r="CD265" s="286">
        <v>1000</v>
      </c>
      <c r="CE265" s="296">
        <v>15480</v>
      </c>
      <c r="CF265" s="261">
        <v>729372</v>
      </c>
      <c r="CG265" s="261">
        <v>693940</v>
      </c>
      <c r="CH265" s="202">
        <v>23</v>
      </c>
      <c r="CI265" s="261">
        <f t="shared" si="122"/>
        <v>3119.4415649807693</v>
      </c>
      <c r="CJ265" s="261">
        <f t="shared" si="123"/>
        <v>48288955.425902307</v>
      </c>
      <c r="CL265">
        <v>38960</v>
      </c>
      <c r="CM265" s="299">
        <v>2019</v>
      </c>
      <c r="CN265" s="299">
        <v>1550</v>
      </c>
      <c r="CO265" s="300" t="s">
        <v>258</v>
      </c>
      <c r="CP265" s="299">
        <v>755</v>
      </c>
      <c r="CQ265" s="299">
        <v>114</v>
      </c>
      <c r="CR265" s="294" t="s">
        <v>358</v>
      </c>
      <c r="CS265" s="294" t="s">
        <v>367</v>
      </c>
      <c r="CT265" s="294" t="s">
        <v>368</v>
      </c>
      <c r="CU265" s="301">
        <v>194504355000</v>
      </c>
      <c r="DB265">
        <f t="shared" si="119"/>
        <v>33</v>
      </c>
      <c r="DC265" s="595" t="s">
        <v>1022</v>
      </c>
      <c r="DD265" s="595" t="s">
        <v>1023</v>
      </c>
      <c r="DE265" s="595" t="s">
        <v>689</v>
      </c>
      <c r="DF265" s="286">
        <v>10988</v>
      </c>
      <c r="DG265" s="286">
        <v>974664</v>
      </c>
      <c r="DH265" s="286">
        <v>44831094</v>
      </c>
      <c r="DI265" s="286">
        <v>33344249.000000004</v>
      </c>
      <c r="DJ265">
        <v>32</v>
      </c>
      <c r="DK265" s="643">
        <f t="shared" si="120"/>
        <v>1383.6810951873679</v>
      </c>
      <c r="DL265" s="408">
        <f t="shared" si="121"/>
        <v>1348624150.9597008</v>
      </c>
      <c r="DM265" s="286"/>
      <c r="DN265" s="286"/>
      <c r="FH265">
        <v>33</v>
      </c>
      <c r="FI265" t="s">
        <v>879</v>
      </c>
      <c r="FJ265" t="s">
        <v>880</v>
      </c>
      <c r="FK265" t="s">
        <v>694</v>
      </c>
      <c r="FL265" s="286">
        <v>4240</v>
      </c>
      <c r="FM265" s="286">
        <v>386680</v>
      </c>
      <c r="FN265" s="286">
        <v>18734353</v>
      </c>
      <c r="FO265" s="286">
        <v>11371923</v>
      </c>
      <c r="FP265">
        <v>32</v>
      </c>
      <c r="FQ265" s="925">
        <v>1383.6810951873679</v>
      </c>
      <c r="FR265" s="926">
        <v>535041805.8870514</v>
      </c>
      <c r="FS265">
        <v>0</v>
      </c>
    </row>
    <row r="266" spans="76:175">
      <c r="BX266" s="623"/>
      <c r="BY266" t="s">
        <v>1381</v>
      </c>
      <c r="BZ266" t="s">
        <v>1382</v>
      </c>
      <c r="CA266">
        <v>1</v>
      </c>
      <c r="CB266">
        <v>1</v>
      </c>
      <c r="CC266" t="s">
        <v>700</v>
      </c>
      <c r="CD266" s="286">
        <v>16560</v>
      </c>
      <c r="CE266" s="296">
        <v>237520</v>
      </c>
      <c r="CF266" s="261">
        <v>15193849</v>
      </c>
      <c r="CG266" s="261">
        <v>13129766</v>
      </c>
      <c r="CH266" s="202">
        <v>23</v>
      </c>
      <c r="CI266" s="261">
        <f t="shared" si="122"/>
        <v>3119.4415649807693</v>
      </c>
      <c r="CJ266" s="261">
        <f t="shared" si="123"/>
        <v>740929760.51423228</v>
      </c>
      <c r="CL266">
        <v>433520</v>
      </c>
      <c r="CM266" s="299">
        <v>2019</v>
      </c>
      <c r="CN266" s="299">
        <v>1550</v>
      </c>
      <c r="CO266" s="300" t="s">
        <v>258</v>
      </c>
      <c r="CP266" s="299">
        <v>755</v>
      </c>
      <c r="CQ266" s="299">
        <v>115</v>
      </c>
      <c r="CR266" s="294" t="s">
        <v>369</v>
      </c>
      <c r="CS266" s="294" t="s">
        <v>370</v>
      </c>
      <c r="CT266" s="294" t="s">
        <v>371</v>
      </c>
      <c r="CU266" s="301">
        <v>3698825</v>
      </c>
      <c r="DB266">
        <f t="shared" si="119"/>
        <v>33</v>
      </c>
      <c r="DC266" s="595" t="s">
        <v>1022</v>
      </c>
      <c r="DD266" s="595" t="s">
        <v>1023</v>
      </c>
      <c r="DE266" s="595" t="s">
        <v>694</v>
      </c>
      <c r="DF266" s="286">
        <v>20380</v>
      </c>
      <c r="DG266" s="286">
        <v>2000428</v>
      </c>
      <c r="DH266" s="286">
        <v>27778578</v>
      </c>
      <c r="DI266" s="286">
        <v>18118928</v>
      </c>
      <c r="DJ266">
        <v>32</v>
      </c>
      <c r="DK266" s="643">
        <f t="shared" si="120"/>
        <v>1383.6810951873679</v>
      </c>
      <c r="DL266" s="408">
        <f t="shared" si="121"/>
        <v>2767954405.8834758</v>
      </c>
      <c r="DM266" s="286"/>
      <c r="DN266" s="286"/>
      <c r="FH266">
        <v>33</v>
      </c>
      <c r="FI266" t="s">
        <v>1028</v>
      </c>
      <c r="FJ266" t="s">
        <v>1029</v>
      </c>
      <c r="FK266" t="s">
        <v>694</v>
      </c>
      <c r="FL266" s="286">
        <v>30809</v>
      </c>
      <c r="FM266" s="286">
        <v>2580483</v>
      </c>
      <c r="FN266" s="286">
        <v>225448050.00000003</v>
      </c>
      <c r="FO266" s="286">
        <v>95666858</v>
      </c>
      <c r="FP266">
        <v>33</v>
      </c>
      <c r="FQ266" s="925">
        <v>3091.5868848384584</v>
      </c>
      <c r="FR266" s="926">
        <v>7977787399.3485994</v>
      </c>
      <c r="FS266">
        <v>0</v>
      </c>
    </row>
    <row r="267" spans="76:175">
      <c r="BX267" s="623"/>
      <c r="BY267" t="s">
        <v>1383</v>
      </c>
      <c r="BZ267" t="s">
        <v>1384</v>
      </c>
      <c r="CA267">
        <v>1</v>
      </c>
      <c r="CB267">
        <v>1</v>
      </c>
      <c r="CC267" t="s">
        <v>700</v>
      </c>
      <c r="CD267" s="286">
        <v>960</v>
      </c>
      <c r="CE267" s="296">
        <v>12080</v>
      </c>
      <c r="CF267" s="261">
        <v>767600</v>
      </c>
      <c r="CG267" s="261">
        <v>641304</v>
      </c>
      <c r="CH267" s="202">
        <v>23</v>
      </c>
      <c r="CI267" s="261">
        <f t="shared" si="122"/>
        <v>3119.4415649807693</v>
      </c>
      <c r="CJ267" s="261">
        <f t="shared" si="123"/>
        <v>37682854.104967691</v>
      </c>
      <c r="CL267">
        <v>100760</v>
      </c>
      <c r="CM267" s="299">
        <v>2019</v>
      </c>
      <c r="CN267" s="299">
        <v>1550</v>
      </c>
      <c r="CO267" s="300" t="s">
        <v>258</v>
      </c>
      <c r="CP267" s="299">
        <v>755</v>
      </c>
      <c r="CQ267" s="299">
        <v>116</v>
      </c>
      <c r="CR267" s="294" t="s">
        <v>369</v>
      </c>
      <c r="CS267" s="294" t="s">
        <v>372</v>
      </c>
      <c r="CT267" s="294" t="s">
        <v>373</v>
      </c>
      <c r="CU267" s="301">
        <v>573744</v>
      </c>
      <c r="DB267">
        <f t="shared" si="119"/>
        <v>33</v>
      </c>
      <c r="DC267" s="595" t="s">
        <v>1022</v>
      </c>
      <c r="DD267" s="595" t="s">
        <v>1023</v>
      </c>
      <c r="DE267" s="595" t="s">
        <v>688</v>
      </c>
      <c r="DF267" s="286">
        <v>43104</v>
      </c>
      <c r="DG267" s="286">
        <v>3980313</v>
      </c>
      <c r="DH267" s="286">
        <v>145438655</v>
      </c>
      <c r="DI267" s="286">
        <v>95242287</v>
      </c>
      <c r="DJ267">
        <v>32</v>
      </c>
      <c r="DK267" s="643">
        <f t="shared" si="120"/>
        <v>1383.6810951873679</v>
      </c>
      <c r="DL267" s="408">
        <f t="shared" si="121"/>
        <v>5507483851.0285177</v>
      </c>
      <c r="DM267" s="286"/>
      <c r="DN267" s="286"/>
      <c r="FH267">
        <v>33</v>
      </c>
      <c r="FI267" t="s">
        <v>1030</v>
      </c>
      <c r="FJ267" t="s">
        <v>1031</v>
      </c>
      <c r="FK267" t="s">
        <v>694</v>
      </c>
      <c r="FL267" s="286">
        <v>3856</v>
      </c>
      <c r="FM267" s="286">
        <v>317484</v>
      </c>
      <c r="FN267" s="286">
        <v>20715388</v>
      </c>
      <c r="FO267" s="286">
        <v>10582768</v>
      </c>
      <c r="FP267">
        <v>33</v>
      </c>
      <c r="FQ267" s="925">
        <v>3091.5868848384584</v>
      </c>
      <c r="FR267" s="926">
        <v>981529370.54605317</v>
      </c>
      <c r="FS267">
        <v>0</v>
      </c>
    </row>
    <row r="268" spans="76:175">
      <c r="BX268" s="623"/>
      <c r="BY268" t="s">
        <v>1166</v>
      </c>
      <c r="BZ268" t="s">
        <v>1167</v>
      </c>
      <c r="CA268">
        <v>1</v>
      </c>
      <c r="CB268">
        <v>1</v>
      </c>
      <c r="CC268" t="s">
        <v>700</v>
      </c>
      <c r="CD268" s="286">
        <v>10880</v>
      </c>
      <c r="CE268" s="296">
        <v>176520</v>
      </c>
      <c r="CF268" s="261">
        <v>12039383</v>
      </c>
      <c r="CG268" s="261">
        <v>8688972</v>
      </c>
      <c r="CH268" s="202">
        <v>23</v>
      </c>
      <c r="CI268" s="261">
        <f t="shared" si="122"/>
        <v>3119.4415649807693</v>
      </c>
      <c r="CJ268" s="261">
        <f t="shared" si="123"/>
        <v>550643825.05040538</v>
      </c>
      <c r="CL268">
        <v>172720</v>
      </c>
      <c r="CM268" s="299">
        <v>2019</v>
      </c>
      <c r="CN268" s="299">
        <v>1550</v>
      </c>
      <c r="CO268" s="300" t="s">
        <v>258</v>
      </c>
      <c r="CP268" s="299">
        <v>755</v>
      </c>
      <c r="CQ268" s="299">
        <v>117</v>
      </c>
      <c r="CR268" s="294" t="s">
        <v>374</v>
      </c>
      <c r="CS268" s="294" t="s">
        <v>375</v>
      </c>
      <c r="CT268" s="294" t="s">
        <v>376</v>
      </c>
      <c r="CU268" s="301">
        <v>1913957</v>
      </c>
      <c r="DB268">
        <f t="shared" si="119"/>
        <v>33</v>
      </c>
      <c r="DC268" s="595" t="s">
        <v>1063</v>
      </c>
      <c r="DD268" s="595" t="s">
        <v>1064</v>
      </c>
      <c r="DE268" s="595" t="s">
        <v>694</v>
      </c>
      <c r="DF268" s="286">
        <v>33676</v>
      </c>
      <c r="DG268" s="286">
        <v>2920840</v>
      </c>
      <c r="DH268" s="286">
        <v>209296711</v>
      </c>
      <c r="DI268" s="286">
        <v>126218171</v>
      </c>
      <c r="DJ268">
        <v>32</v>
      </c>
      <c r="DK268" s="643">
        <f t="shared" si="120"/>
        <v>1383.6810951873679</v>
      </c>
      <c r="DL268" s="408">
        <f t="shared" si="121"/>
        <v>4041511090.0670714</v>
      </c>
      <c r="DM268" s="286"/>
      <c r="DN268" s="286"/>
      <c r="FH268">
        <v>33</v>
      </c>
      <c r="FI268" t="s">
        <v>1065</v>
      </c>
      <c r="FJ268" t="s">
        <v>1066</v>
      </c>
      <c r="FK268" t="s">
        <v>694</v>
      </c>
      <c r="FL268" s="286">
        <v>880</v>
      </c>
      <c r="FM268" s="286">
        <v>64239.999999999993</v>
      </c>
      <c r="FN268" s="286">
        <v>5670836</v>
      </c>
      <c r="FO268" s="286">
        <v>2671396</v>
      </c>
      <c r="FP268">
        <v>33</v>
      </c>
      <c r="FQ268" s="925">
        <v>3091.5868848384584</v>
      </c>
      <c r="FR268" s="926">
        <v>198603541.48202255</v>
      </c>
      <c r="FS268">
        <v>0</v>
      </c>
    </row>
    <row r="269" spans="76:175">
      <c r="BX269" s="623"/>
      <c r="BY269" t="s">
        <v>1385</v>
      </c>
      <c r="BZ269" t="s">
        <v>1384</v>
      </c>
      <c r="CA269">
        <v>1</v>
      </c>
      <c r="CB269">
        <v>1</v>
      </c>
      <c r="CC269" t="s">
        <v>700</v>
      </c>
      <c r="CD269" s="286">
        <v>7480</v>
      </c>
      <c r="CE269" s="296">
        <v>105720</v>
      </c>
      <c r="CF269" s="261">
        <v>10954178</v>
      </c>
      <c r="CG269" s="261">
        <v>5967447</v>
      </c>
      <c r="CH269" s="202">
        <v>23</v>
      </c>
      <c r="CI269" s="261">
        <f t="shared" si="122"/>
        <v>3119.4415649807693</v>
      </c>
      <c r="CJ269" s="261">
        <f t="shared" si="123"/>
        <v>329787362.24976695</v>
      </c>
      <c r="CL269">
        <v>681280</v>
      </c>
      <c r="CM269" s="299">
        <v>2019</v>
      </c>
      <c r="CN269" s="299">
        <v>1550</v>
      </c>
      <c r="CO269" s="300" t="s">
        <v>258</v>
      </c>
      <c r="CP269" s="299">
        <v>755</v>
      </c>
      <c r="CQ269" s="299">
        <v>118</v>
      </c>
      <c r="CR269" s="294" t="s">
        <v>417</v>
      </c>
      <c r="CS269" s="294" t="s">
        <v>418</v>
      </c>
      <c r="CT269" s="294" t="s">
        <v>419</v>
      </c>
      <c r="CU269" s="301">
        <v>566309</v>
      </c>
      <c r="DB269">
        <f t="shared" si="119"/>
        <v>33</v>
      </c>
      <c r="DC269" s="595" t="s">
        <v>1063</v>
      </c>
      <c r="DD269" s="595" t="s">
        <v>1064</v>
      </c>
      <c r="DE269" s="595" t="s">
        <v>688</v>
      </c>
      <c r="DF269" s="286">
        <v>640</v>
      </c>
      <c r="DG269" s="286">
        <v>56880</v>
      </c>
      <c r="DH269" s="286">
        <v>2908676</v>
      </c>
      <c r="DI269" s="286">
        <v>1253462</v>
      </c>
      <c r="DJ269">
        <v>32</v>
      </c>
      <c r="DK269" s="643">
        <f t="shared" si="120"/>
        <v>1383.6810951873679</v>
      </c>
      <c r="DL269" s="408">
        <f t="shared" si="121"/>
        <v>78703780.694257483</v>
      </c>
      <c r="DM269" s="286"/>
      <c r="DN269" s="286"/>
      <c r="FH269">
        <v>35</v>
      </c>
      <c r="FI269" t="s">
        <v>1067</v>
      </c>
      <c r="FJ269" t="s">
        <v>1068</v>
      </c>
      <c r="FK269" t="s">
        <v>694</v>
      </c>
      <c r="FL269" s="286">
        <v>29314</v>
      </c>
      <c r="FM269" s="286">
        <v>1132320.0000000002</v>
      </c>
      <c r="FN269" s="286">
        <v>177397417.00000003</v>
      </c>
      <c r="FO269" s="286">
        <v>51456931.000000007</v>
      </c>
      <c r="FP269">
        <v>34</v>
      </c>
      <c r="FQ269" s="925">
        <v>8809.1513891176346</v>
      </c>
      <c r="FR269" s="926">
        <v>9974778300.9256821</v>
      </c>
      <c r="FS269">
        <v>0</v>
      </c>
    </row>
    <row r="270" spans="76:175">
      <c r="BX270" s="623"/>
      <c r="BY270" t="s">
        <v>1168</v>
      </c>
      <c r="BZ270" t="s">
        <v>1169</v>
      </c>
      <c r="CA270">
        <v>1</v>
      </c>
      <c r="CB270">
        <v>1</v>
      </c>
      <c r="CC270" t="s">
        <v>700</v>
      </c>
      <c r="CD270" s="286">
        <v>280</v>
      </c>
      <c r="CE270" s="296">
        <v>4400</v>
      </c>
      <c r="CF270" s="261">
        <v>539240</v>
      </c>
      <c r="CG270" s="261">
        <v>216338</v>
      </c>
      <c r="CH270" s="202">
        <v>23</v>
      </c>
      <c r="CI270" s="261">
        <f t="shared" si="122"/>
        <v>3119.4415649807693</v>
      </c>
      <c r="CJ270" s="261">
        <f t="shared" si="123"/>
        <v>13725542.885915386</v>
      </c>
      <c r="CL270">
        <v>59920</v>
      </c>
      <c r="CM270" s="299">
        <v>2019</v>
      </c>
      <c r="CN270" s="299">
        <v>1550</v>
      </c>
      <c r="CO270" s="300" t="s">
        <v>258</v>
      </c>
      <c r="CP270" s="299">
        <v>755</v>
      </c>
      <c r="CQ270" s="299">
        <v>119</v>
      </c>
      <c r="CR270" s="294" t="s">
        <v>417</v>
      </c>
      <c r="CS270" s="294" t="s">
        <v>418</v>
      </c>
      <c r="CT270" s="294" t="s">
        <v>420</v>
      </c>
      <c r="CU270" s="301">
        <v>0</v>
      </c>
      <c r="DB270">
        <f t="shared" si="119"/>
        <v>33</v>
      </c>
      <c r="DC270" s="595" t="s">
        <v>869</v>
      </c>
      <c r="DD270" s="595" t="s">
        <v>870</v>
      </c>
      <c r="DE270" s="595" t="s">
        <v>687</v>
      </c>
      <c r="DF270" s="286">
        <v>1088</v>
      </c>
      <c r="DG270" s="286">
        <v>94400</v>
      </c>
      <c r="DH270" s="286">
        <v>8639772</v>
      </c>
      <c r="DI270" s="286">
        <v>4033312</v>
      </c>
      <c r="DJ270">
        <v>32</v>
      </c>
      <c r="DK270" s="643">
        <f t="shared" si="120"/>
        <v>1383.6810951873679</v>
      </c>
      <c r="DL270" s="408">
        <f t="shared" si="121"/>
        <v>130619495.38568753</v>
      </c>
      <c r="DM270" s="286"/>
      <c r="DN270" s="286"/>
      <c r="FH270">
        <v>36</v>
      </c>
      <c r="FI270" t="s">
        <v>1069</v>
      </c>
      <c r="FJ270" t="s">
        <v>1070</v>
      </c>
      <c r="FK270" t="s">
        <v>694</v>
      </c>
      <c r="FL270" s="286">
        <v>1104</v>
      </c>
      <c r="FM270" s="286">
        <v>125172</v>
      </c>
      <c r="FN270" s="286">
        <v>42401648</v>
      </c>
      <c r="FO270" s="286">
        <v>2685480</v>
      </c>
      <c r="FP270">
        <v>35</v>
      </c>
      <c r="FQ270" s="925">
        <v>17409.096095264758</v>
      </c>
      <c r="FR270" s="926">
        <v>2179131376.4364805</v>
      </c>
      <c r="FS270">
        <v>0</v>
      </c>
    </row>
    <row r="271" spans="76:175">
      <c r="BX271" s="623"/>
      <c r="BY271" t="s">
        <v>993</v>
      </c>
      <c r="BZ271" t="s">
        <v>994</v>
      </c>
      <c r="CA271">
        <v>1</v>
      </c>
      <c r="CB271">
        <v>1</v>
      </c>
      <c r="CC271" t="s">
        <v>700</v>
      </c>
      <c r="CD271" s="286">
        <v>960</v>
      </c>
      <c r="CE271" s="296">
        <v>15760</v>
      </c>
      <c r="CF271" s="261">
        <v>902202</v>
      </c>
      <c r="CG271" s="261">
        <v>721082</v>
      </c>
      <c r="CH271" s="202">
        <v>22</v>
      </c>
      <c r="CI271" s="261">
        <f t="shared" si="122"/>
        <v>348.03770724419365</v>
      </c>
      <c r="CJ271" s="261">
        <f t="shared" si="123"/>
        <v>5485074.2661684919</v>
      </c>
      <c r="CL271">
        <v>15480</v>
      </c>
      <c r="CM271" s="299">
        <v>2019</v>
      </c>
      <c r="CN271" s="299">
        <v>1550</v>
      </c>
      <c r="CO271" s="300" t="s">
        <v>258</v>
      </c>
      <c r="CP271" s="299">
        <v>755</v>
      </c>
      <c r="CQ271" s="299">
        <v>120</v>
      </c>
      <c r="CR271" s="294" t="s">
        <v>421</v>
      </c>
      <c r="CS271" s="294" t="s">
        <v>422</v>
      </c>
      <c r="CT271" s="294" t="s">
        <v>322</v>
      </c>
      <c r="CU271" s="301">
        <v>1543300</v>
      </c>
      <c r="DB271">
        <f t="shared" si="119"/>
        <v>33</v>
      </c>
      <c r="DC271" s="595" t="s">
        <v>869</v>
      </c>
      <c r="DD271" s="595" t="s">
        <v>870</v>
      </c>
      <c r="DE271" s="595" t="s">
        <v>689</v>
      </c>
      <c r="DF271" s="286">
        <v>274916</v>
      </c>
      <c r="DG271" s="286">
        <v>25722376</v>
      </c>
      <c r="DH271" s="286">
        <v>1013561150</v>
      </c>
      <c r="DI271" s="286">
        <v>673180760</v>
      </c>
      <c r="DJ271">
        <v>32</v>
      </c>
      <c r="DK271" s="643">
        <f t="shared" si="120"/>
        <v>1383.6810951873679</v>
      </c>
      <c r="DL271" s="408">
        <f t="shared" si="121"/>
        <v>35591565394.501266</v>
      </c>
      <c r="DM271" s="286"/>
      <c r="DN271" s="286"/>
      <c r="FH271">
        <v>37</v>
      </c>
      <c r="FI271" t="s">
        <v>1071</v>
      </c>
      <c r="FJ271" t="s">
        <v>1072</v>
      </c>
      <c r="FK271" t="s">
        <v>694</v>
      </c>
      <c r="FL271" s="286">
        <v>28200</v>
      </c>
      <c r="FM271" s="286">
        <v>848640</v>
      </c>
      <c r="FN271" s="286">
        <v>85828385</v>
      </c>
      <c r="FO271" s="286">
        <v>30577988</v>
      </c>
      <c r="FP271">
        <v>36</v>
      </c>
      <c r="FQ271" s="925">
        <v>7463.6077432689826</v>
      </c>
      <c r="FR271" s="926">
        <v>6333916075.2477894</v>
      </c>
      <c r="FS271">
        <v>0</v>
      </c>
    </row>
    <row r="272" spans="76:175">
      <c r="BX272" s="623"/>
      <c r="BY272" t="s">
        <v>1386</v>
      </c>
      <c r="BZ272" t="s">
        <v>1387</v>
      </c>
      <c r="CA272">
        <v>1</v>
      </c>
      <c r="CB272">
        <v>1</v>
      </c>
      <c r="CC272" t="s">
        <v>700</v>
      </c>
      <c r="CD272" s="286">
        <v>480</v>
      </c>
      <c r="CE272" s="296">
        <v>8160</v>
      </c>
      <c r="CF272" s="261">
        <v>325031</v>
      </c>
      <c r="CG272" s="261">
        <v>276087</v>
      </c>
      <c r="CH272" s="202">
        <v>22</v>
      </c>
      <c r="CI272" s="261">
        <f t="shared" si="122"/>
        <v>348.03770724419365</v>
      </c>
      <c r="CJ272" s="261">
        <f t="shared" si="123"/>
        <v>2839987.6911126203</v>
      </c>
      <c r="CL272">
        <v>237520</v>
      </c>
      <c r="CM272" s="299">
        <v>2019</v>
      </c>
      <c r="CN272" s="299">
        <v>1550</v>
      </c>
      <c r="CO272" s="300" t="s">
        <v>258</v>
      </c>
      <c r="CP272" s="299">
        <v>755</v>
      </c>
      <c r="CQ272" s="299">
        <v>121</v>
      </c>
      <c r="CR272" s="294" t="s">
        <v>421</v>
      </c>
      <c r="CS272" s="294" t="s">
        <v>422</v>
      </c>
      <c r="CT272" s="294" t="s">
        <v>323</v>
      </c>
      <c r="CU272" s="301">
        <v>3863538</v>
      </c>
      <c r="DB272">
        <f t="shared" si="119"/>
        <v>33</v>
      </c>
      <c r="DC272" s="595" t="s">
        <v>869</v>
      </c>
      <c r="DD272" s="595" t="s">
        <v>870</v>
      </c>
      <c r="DE272" s="595" t="s">
        <v>694</v>
      </c>
      <c r="DF272" s="286">
        <v>1800</v>
      </c>
      <c r="DG272" s="286">
        <v>162640</v>
      </c>
      <c r="DH272" s="286">
        <v>9749830</v>
      </c>
      <c r="DI272" s="286">
        <v>5318567.9999999991</v>
      </c>
      <c r="DJ272">
        <v>32</v>
      </c>
      <c r="DK272" s="643">
        <f t="shared" si="120"/>
        <v>1383.6810951873679</v>
      </c>
      <c r="DL272" s="408">
        <f t="shared" si="121"/>
        <v>225041893.32127351</v>
      </c>
      <c r="DM272" s="286"/>
      <c r="DN272" s="286"/>
      <c r="FH272">
        <v>37</v>
      </c>
      <c r="FI272" t="s">
        <v>883</v>
      </c>
      <c r="FJ272" t="s">
        <v>884</v>
      </c>
      <c r="FK272" t="s">
        <v>694</v>
      </c>
      <c r="FL272" s="286">
        <v>5022</v>
      </c>
      <c r="FM272" s="286">
        <v>115620</v>
      </c>
      <c r="FN272" s="286">
        <v>11588679</v>
      </c>
      <c r="FO272" s="286">
        <v>7376680</v>
      </c>
      <c r="FP272">
        <v>36</v>
      </c>
      <c r="FQ272" s="925">
        <v>7463.6077432689826</v>
      </c>
      <c r="FR272" s="926">
        <v>862942327.27675974</v>
      </c>
      <c r="FS272">
        <v>0</v>
      </c>
    </row>
    <row r="273" spans="76:178">
      <c r="BX273" s="623"/>
      <c r="BY273" t="s">
        <v>1172</v>
      </c>
      <c r="BZ273" t="s">
        <v>1173</v>
      </c>
      <c r="CA273">
        <v>1</v>
      </c>
      <c r="CB273">
        <v>1</v>
      </c>
      <c r="CC273" t="s">
        <v>700</v>
      </c>
      <c r="CD273" s="286">
        <v>4040</v>
      </c>
      <c r="CE273" s="296">
        <v>81520</v>
      </c>
      <c r="CF273" s="261">
        <v>2206906</v>
      </c>
      <c r="CG273" s="261">
        <v>3171092</v>
      </c>
      <c r="CH273" s="202">
        <v>22</v>
      </c>
      <c r="CI273" s="261">
        <f t="shared" si="122"/>
        <v>348.03770724419365</v>
      </c>
      <c r="CJ273" s="261">
        <f t="shared" si="123"/>
        <v>28372033.894546665</v>
      </c>
      <c r="CL273">
        <v>12080</v>
      </c>
      <c r="CM273" s="299">
        <v>2019</v>
      </c>
      <c r="CN273" s="299">
        <v>1550</v>
      </c>
      <c r="CO273" s="300" t="s">
        <v>258</v>
      </c>
      <c r="CP273" s="299">
        <v>755</v>
      </c>
      <c r="CQ273" s="299">
        <v>122</v>
      </c>
      <c r="CR273" s="294" t="s">
        <v>421</v>
      </c>
      <c r="CS273" s="294" t="s">
        <v>422</v>
      </c>
      <c r="CT273" s="294" t="s">
        <v>325</v>
      </c>
      <c r="CU273" s="301">
        <v>5964438</v>
      </c>
      <c r="DB273">
        <f t="shared" si="119"/>
        <v>33</v>
      </c>
      <c r="DC273" s="595" t="s">
        <v>1024</v>
      </c>
      <c r="DD273" s="595" t="s">
        <v>1025</v>
      </c>
      <c r="DE273" s="595" t="s">
        <v>689</v>
      </c>
      <c r="DF273" s="286">
        <v>11272</v>
      </c>
      <c r="DG273" s="286">
        <v>1068768</v>
      </c>
      <c r="DH273" s="286">
        <v>55449020.000000007</v>
      </c>
      <c r="DI273" s="286">
        <v>31722278</v>
      </c>
      <c r="DJ273">
        <v>32</v>
      </c>
      <c r="DK273" s="643">
        <f t="shared" si="120"/>
        <v>1383.6810951873679</v>
      </c>
      <c r="DL273" s="408">
        <f t="shared" si="121"/>
        <v>1478834076.7412128</v>
      </c>
      <c r="DM273" s="286"/>
      <c r="DN273" s="286"/>
      <c r="FH273">
        <v>24</v>
      </c>
      <c r="FI273" t="s">
        <v>1059</v>
      </c>
      <c r="FJ273" t="s">
        <v>1060</v>
      </c>
      <c r="FK273" t="s">
        <v>694</v>
      </c>
      <c r="FL273" s="286">
        <v>8680</v>
      </c>
      <c r="FM273" s="286">
        <v>859320</v>
      </c>
      <c r="FN273" s="286">
        <v>51650860</v>
      </c>
      <c r="FO273" s="286">
        <v>34713355</v>
      </c>
      <c r="FP273">
        <v>39</v>
      </c>
      <c r="FQ273" s="925">
        <v>5387.04129053214</v>
      </c>
      <c r="FR273" s="926">
        <v>4629192321.7800789</v>
      </c>
      <c r="FS273">
        <v>0</v>
      </c>
    </row>
    <row r="274" spans="76:178">
      <c r="BX274" s="623"/>
      <c r="BY274" t="s">
        <v>1388</v>
      </c>
      <c r="BZ274" t="s">
        <v>1389</v>
      </c>
      <c r="CA274">
        <v>1</v>
      </c>
      <c r="CB274">
        <v>1</v>
      </c>
      <c r="CC274" t="s">
        <v>700</v>
      </c>
      <c r="CD274" s="286">
        <v>7480</v>
      </c>
      <c r="CE274" s="296">
        <v>127640</v>
      </c>
      <c r="CF274" s="261">
        <v>7837512</v>
      </c>
      <c r="CG274" s="261">
        <v>5207880</v>
      </c>
      <c r="CH274" s="202">
        <v>23</v>
      </c>
      <c r="CI274" s="261">
        <f t="shared" si="122"/>
        <v>3119.4415649807693</v>
      </c>
      <c r="CJ274" s="261">
        <f t="shared" si="123"/>
        <v>398165521.35414541</v>
      </c>
      <c r="CL274">
        <v>176520</v>
      </c>
      <c r="CM274" s="299">
        <v>2019</v>
      </c>
      <c r="CN274" s="299">
        <v>1550</v>
      </c>
      <c r="CO274" s="300" t="s">
        <v>258</v>
      </c>
      <c r="CP274" s="299">
        <v>755</v>
      </c>
      <c r="CQ274" s="299">
        <v>123</v>
      </c>
      <c r="CR274" s="294" t="s">
        <v>423</v>
      </c>
      <c r="CS274" s="294" t="s">
        <v>424</v>
      </c>
      <c r="CT274" s="294" t="s">
        <v>425</v>
      </c>
      <c r="CU274" s="301">
        <v>7500395</v>
      </c>
      <c r="DB274">
        <f t="shared" si="119"/>
        <v>33</v>
      </c>
      <c r="DC274" s="595" t="s">
        <v>1024</v>
      </c>
      <c r="DD274" s="595" t="s">
        <v>1025</v>
      </c>
      <c r="DE274" s="595" t="s">
        <v>694</v>
      </c>
      <c r="DF274" s="286">
        <v>8840</v>
      </c>
      <c r="DG274" s="286">
        <v>784760</v>
      </c>
      <c r="DH274" s="286">
        <v>49751912</v>
      </c>
      <c r="DI274" s="286">
        <v>27260938.000000004</v>
      </c>
      <c r="DJ274">
        <v>32</v>
      </c>
      <c r="DK274" s="643">
        <f t="shared" si="120"/>
        <v>1383.6810951873679</v>
      </c>
      <c r="DL274" s="408">
        <f t="shared" si="121"/>
        <v>1085857576.2592387</v>
      </c>
      <c r="DM274" s="286"/>
      <c r="DN274" s="286"/>
      <c r="FL274" s="286">
        <f>SUM(FL244:FL273)</f>
        <v>506705</v>
      </c>
      <c r="FM274" s="286">
        <f>SUM(FM244:FM273)</f>
        <v>42826335</v>
      </c>
      <c r="FN274" s="286"/>
      <c r="FO274" s="286"/>
      <c r="FQ274" s="925">
        <f>FR274/FM274</f>
        <v>1361.9944010108707</v>
      </c>
      <c r="FR274" s="408">
        <f>SUM(FR244:FR273)</f>
        <v>58329228485.815887</v>
      </c>
      <c r="FT274" s="927">
        <f>-1*(PMT($EA$23,$EA$24,FQ274,$EA$25*FQ274)/(365*24))</f>
        <v>0.17643735687981005</v>
      </c>
      <c r="FU274" s="790">
        <f>FT274*FV274</f>
        <v>14.912356010399149</v>
      </c>
      <c r="FV274" s="788">
        <f>FM274/FL274</f>
        <v>84.51926663443227</v>
      </c>
    </row>
    <row r="275" spans="76:178">
      <c r="BX275" s="623"/>
      <c r="BY275" t="s">
        <v>1390</v>
      </c>
      <c r="BZ275" t="s">
        <v>1391</v>
      </c>
      <c r="CA275">
        <v>1</v>
      </c>
      <c r="CB275">
        <v>1</v>
      </c>
      <c r="CC275" t="s">
        <v>700</v>
      </c>
      <c r="CD275" s="286">
        <v>1480</v>
      </c>
      <c r="CE275" s="296">
        <v>23560</v>
      </c>
      <c r="CF275" s="261">
        <v>4254400</v>
      </c>
      <c r="CG275" s="261">
        <v>1021247</v>
      </c>
      <c r="CH275" s="202">
        <v>23</v>
      </c>
      <c r="CI275" s="261">
        <f t="shared" si="122"/>
        <v>3119.4415649807693</v>
      </c>
      <c r="CJ275" s="261">
        <f t="shared" si="123"/>
        <v>73494043.27094692</v>
      </c>
      <c r="CL275">
        <v>105720</v>
      </c>
      <c r="CM275" s="299">
        <v>2019</v>
      </c>
      <c r="CN275" s="299">
        <v>1550</v>
      </c>
      <c r="CO275" s="300" t="s">
        <v>258</v>
      </c>
      <c r="CP275" s="299">
        <v>755</v>
      </c>
      <c r="CQ275" s="299">
        <v>124</v>
      </c>
      <c r="CR275" s="294" t="s">
        <v>426</v>
      </c>
      <c r="CS275" s="294" t="s">
        <v>427</v>
      </c>
      <c r="CT275" s="294" t="s">
        <v>428</v>
      </c>
      <c r="CU275" s="301">
        <v>2094746</v>
      </c>
      <c r="DB275">
        <f t="shared" si="119"/>
        <v>33</v>
      </c>
      <c r="DC275" s="595" t="s">
        <v>1024</v>
      </c>
      <c r="DD275" s="595" t="s">
        <v>1025</v>
      </c>
      <c r="DE275" s="595" t="s">
        <v>688</v>
      </c>
      <c r="DF275" s="286">
        <v>13396</v>
      </c>
      <c r="DG275" s="286">
        <v>1288484</v>
      </c>
      <c r="DH275" s="286">
        <v>72478892</v>
      </c>
      <c r="DI275" s="286">
        <v>36513261</v>
      </c>
      <c r="DJ275">
        <v>32</v>
      </c>
      <c r="DK275" s="643">
        <f t="shared" si="120"/>
        <v>1383.6810951873679</v>
      </c>
      <c r="DL275" s="408">
        <f t="shared" si="121"/>
        <v>1782850952.2514005</v>
      </c>
      <c r="DM275" s="286"/>
      <c r="DN275" s="286"/>
      <c r="FL275" s="286"/>
      <c r="FM275" s="286"/>
      <c r="FN275" s="286"/>
      <c r="FO275" s="286"/>
      <c r="FQ275" s="925"/>
      <c r="FR275" s="926"/>
    </row>
    <row r="276" spans="76:178">
      <c r="BX276" s="623"/>
      <c r="BY276" t="s">
        <v>1392</v>
      </c>
      <c r="BZ276" t="s">
        <v>1393</v>
      </c>
      <c r="CA276">
        <v>1</v>
      </c>
      <c r="CB276">
        <v>1</v>
      </c>
      <c r="CC276" t="s">
        <v>700</v>
      </c>
      <c r="CD276" s="286">
        <v>240</v>
      </c>
      <c r="CE276" s="296">
        <v>4720</v>
      </c>
      <c r="CF276" s="261">
        <v>287549</v>
      </c>
      <c r="CG276" s="261">
        <v>197800</v>
      </c>
      <c r="CH276" s="202">
        <v>23</v>
      </c>
      <c r="CI276" s="261">
        <f t="shared" si="122"/>
        <v>3119.4415649807693</v>
      </c>
      <c r="CJ276" s="261">
        <f t="shared" si="123"/>
        <v>14723764.186709231</v>
      </c>
      <c r="CL276">
        <v>4400</v>
      </c>
      <c r="CM276" s="299">
        <v>2019</v>
      </c>
      <c r="CN276" s="299">
        <v>1550</v>
      </c>
      <c r="CO276" s="300" t="s">
        <v>258</v>
      </c>
      <c r="CP276" s="299">
        <v>755</v>
      </c>
      <c r="CQ276" s="299">
        <v>125</v>
      </c>
      <c r="CR276" s="294" t="s">
        <v>429</v>
      </c>
      <c r="CS276" s="294" t="s">
        <v>430</v>
      </c>
      <c r="CT276" s="294" t="s">
        <v>431</v>
      </c>
      <c r="CU276" s="301">
        <v>576101</v>
      </c>
      <c r="DB276">
        <f t="shared" si="119"/>
        <v>33</v>
      </c>
      <c r="DC276" s="595" t="s">
        <v>1026</v>
      </c>
      <c r="DD276" s="595" t="s">
        <v>1027</v>
      </c>
      <c r="DE276" s="595" t="s">
        <v>689</v>
      </c>
      <c r="DF276" s="286">
        <v>2040</v>
      </c>
      <c r="DG276" s="286">
        <v>178440</v>
      </c>
      <c r="DH276" s="286">
        <v>12967571</v>
      </c>
      <c r="DI276" s="286">
        <v>7483297</v>
      </c>
      <c r="DJ276">
        <v>32</v>
      </c>
      <c r="DK276" s="643">
        <f t="shared" si="120"/>
        <v>1383.6810951873679</v>
      </c>
      <c r="DL276" s="408">
        <f t="shared" si="121"/>
        <v>246904054.62523392</v>
      </c>
      <c r="DM276" s="286"/>
      <c r="DN276" s="286"/>
      <c r="FH276">
        <v>33</v>
      </c>
      <c r="FI276" t="s">
        <v>1020</v>
      </c>
      <c r="FJ276" t="s">
        <v>1021</v>
      </c>
      <c r="FK276" t="s">
        <v>688</v>
      </c>
      <c r="FL276" s="286">
        <v>4886</v>
      </c>
      <c r="FM276" s="286">
        <v>493000</v>
      </c>
      <c r="FN276" s="286">
        <v>10018641</v>
      </c>
      <c r="FO276" s="286">
        <v>5707657</v>
      </c>
      <c r="FP276">
        <v>32</v>
      </c>
      <c r="FQ276" s="925">
        <v>1383.6810951873679</v>
      </c>
      <c r="FR276" s="926">
        <v>682154779.92737234</v>
      </c>
      <c r="FS276">
        <v>0</v>
      </c>
    </row>
    <row r="277" spans="76:178">
      <c r="BX277" s="623"/>
      <c r="BY277" t="s">
        <v>1394</v>
      </c>
      <c r="BZ277" t="s">
        <v>1395</v>
      </c>
      <c r="CA277">
        <v>1</v>
      </c>
      <c r="CB277">
        <v>1</v>
      </c>
      <c r="CC277" t="s">
        <v>700</v>
      </c>
      <c r="CD277" s="286">
        <v>4280</v>
      </c>
      <c r="CE277" s="296">
        <v>72920</v>
      </c>
      <c r="CF277" s="261">
        <v>5434335</v>
      </c>
      <c r="CG277" s="261">
        <v>4537169</v>
      </c>
      <c r="CH277" s="202">
        <v>23</v>
      </c>
      <c r="CI277" s="261">
        <f t="shared" si="122"/>
        <v>3119.4415649807693</v>
      </c>
      <c r="CJ277" s="261">
        <f t="shared" si="123"/>
        <v>227469678.91839769</v>
      </c>
      <c r="CL277">
        <v>15760</v>
      </c>
      <c r="CM277" s="299">
        <v>2019</v>
      </c>
      <c r="CN277" s="299">
        <v>1550</v>
      </c>
      <c r="CO277" s="300" t="s">
        <v>258</v>
      </c>
      <c r="CP277" s="299">
        <v>755</v>
      </c>
      <c r="CQ277" s="299">
        <v>126</v>
      </c>
      <c r="CR277" s="294" t="s">
        <v>432</v>
      </c>
      <c r="CS277" s="294" t="s">
        <v>433</v>
      </c>
      <c r="CT277" s="294" t="s">
        <v>434</v>
      </c>
      <c r="CU277" s="301">
        <v>19771902</v>
      </c>
      <c r="DB277">
        <f t="shared" si="119"/>
        <v>33</v>
      </c>
      <c r="DC277" s="595" t="s">
        <v>1026</v>
      </c>
      <c r="DD277" s="595" t="s">
        <v>1027</v>
      </c>
      <c r="DE277" s="595" t="s">
        <v>694</v>
      </c>
      <c r="DF277" s="286">
        <v>13952</v>
      </c>
      <c r="DG277" s="286">
        <v>1167380</v>
      </c>
      <c r="DH277" s="286">
        <v>113162565</v>
      </c>
      <c r="DI277" s="286">
        <v>65673825</v>
      </c>
      <c r="DJ277">
        <v>32</v>
      </c>
      <c r="DK277" s="643">
        <f t="shared" si="120"/>
        <v>1383.6810951873679</v>
      </c>
      <c r="DL277" s="408">
        <f t="shared" si="121"/>
        <v>1615281636.8998296</v>
      </c>
      <c r="DM277" s="286"/>
      <c r="DN277" s="286"/>
      <c r="FH277">
        <v>33</v>
      </c>
      <c r="FI277" t="s">
        <v>1022</v>
      </c>
      <c r="FJ277" t="s">
        <v>1023</v>
      </c>
      <c r="FK277" t="s">
        <v>688</v>
      </c>
      <c r="FL277" s="286">
        <v>43104</v>
      </c>
      <c r="FM277" s="286">
        <v>3980313</v>
      </c>
      <c r="FN277" s="286">
        <v>145438655</v>
      </c>
      <c r="FO277" s="286">
        <v>95242287</v>
      </c>
      <c r="FP277">
        <v>32</v>
      </c>
      <c r="FQ277" s="925">
        <v>1383.6810951873679</v>
      </c>
      <c r="FR277" s="926">
        <v>5507483851.0285177</v>
      </c>
      <c r="FS277">
        <v>0</v>
      </c>
    </row>
    <row r="278" spans="76:178">
      <c r="BX278" s="623"/>
      <c r="BY278" t="s">
        <v>995</v>
      </c>
      <c r="BZ278" t="s">
        <v>996</v>
      </c>
      <c r="CA278">
        <v>1</v>
      </c>
      <c r="CB278">
        <v>1</v>
      </c>
      <c r="CC278" t="s">
        <v>700</v>
      </c>
      <c r="CD278" s="286">
        <v>1080</v>
      </c>
      <c r="CE278" s="296">
        <v>21800</v>
      </c>
      <c r="CF278" s="261">
        <v>1613320</v>
      </c>
      <c r="CG278" s="261">
        <v>1177448</v>
      </c>
      <c r="CH278" s="202">
        <v>20</v>
      </c>
      <c r="CI278" s="261">
        <f t="shared" si="122"/>
        <v>878.59703070032845</v>
      </c>
      <c r="CJ278" s="261">
        <f t="shared" si="123"/>
        <v>19153415.26926716</v>
      </c>
      <c r="CL278">
        <v>8160</v>
      </c>
      <c r="CM278" s="299">
        <v>2019</v>
      </c>
      <c r="CN278" s="299">
        <v>1550</v>
      </c>
      <c r="CO278" s="300" t="s">
        <v>258</v>
      </c>
      <c r="CP278" s="299">
        <v>755</v>
      </c>
      <c r="CQ278" s="299">
        <v>127</v>
      </c>
      <c r="CR278" s="294" t="s">
        <v>432</v>
      </c>
      <c r="CS278" s="294" t="s">
        <v>433</v>
      </c>
      <c r="CT278" s="294" t="s">
        <v>435</v>
      </c>
      <c r="CU278" s="301">
        <v>0</v>
      </c>
      <c r="DB278">
        <f t="shared" si="119"/>
        <v>33</v>
      </c>
      <c r="DC278" s="595" t="s">
        <v>1026</v>
      </c>
      <c r="DD278" s="595" t="s">
        <v>1027</v>
      </c>
      <c r="DE278" s="595" t="s">
        <v>688</v>
      </c>
      <c r="DF278" s="286">
        <v>5560</v>
      </c>
      <c r="DG278" s="286">
        <v>483720</v>
      </c>
      <c r="DH278" s="286">
        <v>34520453</v>
      </c>
      <c r="DI278" s="286">
        <v>16869270</v>
      </c>
      <c r="DJ278">
        <v>32</v>
      </c>
      <c r="DK278" s="643">
        <f t="shared" si="120"/>
        <v>1383.6810951873679</v>
      </c>
      <c r="DL278" s="408">
        <f t="shared" si="121"/>
        <v>669314219.36403358</v>
      </c>
      <c r="DM278" s="286"/>
      <c r="DN278" s="286"/>
      <c r="FH278">
        <v>33</v>
      </c>
      <c r="FI278" t="s">
        <v>1063</v>
      </c>
      <c r="FJ278" t="s">
        <v>1064</v>
      </c>
      <c r="FK278" t="s">
        <v>688</v>
      </c>
      <c r="FL278" s="286">
        <v>640</v>
      </c>
      <c r="FM278" s="286">
        <v>56880</v>
      </c>
      <c r="FN278" s="286">
        <v>2908676</v>
      </c>
      <c r="FO278" s="286">
        <v>1253462</v>
      </c>
      <c r="FP278">
        <v>32</v>
      </c>
      <c r="FQ278" s="925">
        <v>1383.6810951873679</v>
      </c>
      <c r="FR278" s="926">
        <v>78703780.694257483</v>
      </c>
      <c r="FS278">
        <v>0</v>
      </c>
    </row>
    <row r="279" spans="76:178">
      <c r="BX279" s="623"/>
      <c r="BY279" t="s">
        <v>1176</v>
      </c>
      <c r="BZ279" t="s">
        <v>1177</v>
      </c>
      <c r="CA279">
        <v>1</v>
      </c>
      <c r="CB279">
        <v>1</v>
      </c>
      <c r="CC279" t="s">
        <v>700</v>
      </c>
      <c r="CD279" s="286">
        <v>63120</v>
      </c>
      <c r="CE279" s="296">
        <v>996440</v>
      </c>
      <c r="CF279" s="261">
        <v>82826469</v>
      </c>
      <c r="CG279" s="261">
        <v>46133817</v>
      </c>
      <c r="CH279" s="202">
        <v>23</v>
      </c>
      <c r="CI279" s="261">
        <f t="shared" si="122"/>
        <v>3119.4415649807693</v>
      </c>
      <c r="CJ279" s="261">
        <f t="shared" si="123"/>
        <v>3108336353.0094376</v>
      </c>
      <c r="CL279">
        <v>81520</v>
      </c>
      <c r="CM279" s="299">
        <v>2019</v>
      </c>
      <c r="CN279" s="299">
        <v>1550</v>
      </c>
      <c r="CO279" s="300" t="s">
        <v>258</v>
      </c>
      <c r="CP279" s="299">
        <v>755</v>
      </c>
      <c r="CQ279" s="299">
        <v>128</v>
      </c>
      <c r="CR279" s="294" t="s">
        <v>432</v>
      </c>
      <c r="CS279" s="294" t="s">
        <v>433</v>
      </c>
      <c r="CT279" s="294" t="s">
        <v>158</v>
      </c>
      <c r="CU279" s="301">
        <v>0</v>
      </c>
      <c r="DB279">
        <f t="shared" si="119"/>
        <v>33</v>
      </c>
      <c r="DC279" s="595" t="s">
        <v>1028</v>
      </c>
      <c r="DD279" s="595" t="s">
        <v>1029</v>
      </c>
      <c r="DE279" s="595" t="s">
        <v>689</v>
      </c>
      <c r="DF279" s="286">
        <v>7528</v>
      </c>
      <c r="DG279" s="286">
        <v>634127.99999999988</v>
      </c>
      <c r="DH279" s="286">
        <v>51235361.000000007</v>
      </c>
      <c r="DI279" s="286">
        <v>28489269</v>
      </c>
      <c r="DJ279">
        <v>33</v>
      </c>
      <c r="DK279" s="643">
        <f t="shared" si="120"/>
        <v>3091.5868848384584</v>
      </c>
      <c r="DL279" s="408">
        <f t="shared" si="121"/>
        <v>1960461808.1088417</v>
      </c>
      <c r="DM279" s="286"/>
      <c r="DN279" s="286"/>
      <c r="FH279">
        <v>33</v>
      </c>
      <c r="FI279" t="s">
        <v>1024</v>
      </c>
      <c r="FJ279" t="s">
        <v>1025</v>
      </c>
      <c r="FK279" t="s">
        <v>688</v>
      </c>
      <c r="FL279" s="286">
        <v>13396</v>
      </c>
      <c r="FM279" s="286">
        <v>1288484</v>
      </c>
      <c r="FN279" s="286">
        <v>72478892</v>
      </c>
      <c r="FO279" s="286">
        <v>36513261</v>
      </c>
      <c r="FP279">
        <v>32</v>
      </c>
      <c r="FQ279" s="925">
        <v>1383.6810951873679</v>
      </c>
      <c r="FR279" s="926">
        <v>1782850952.2514005</v>
      </c>
      <c r="FS279">
        <v>0</v>
      </c>
    </row>
    <row r="280" spans="76:178">
      <c r="BX280" s="623"/>
      <c r="BY280" t="s">
        <v>1178</v>
      </c>
      <c r="BZ280" t="s">
        <v>1179</v>
      </c>
      <c r="CA280">
        <v>1</v>
      </c>
      <c r="CB280">
        <v>1</v>
      </c>
      <c r="CC280" t="s">
        <v>700</v>
      </c>
      <c r="CD280" s="286">
        <v>11360</v>
      </c>
      <c r="CE280" s="296">
        <v>196800</v>
      </c>
      <c r="CF280" s="261">
        <v>16554237</v>
      </c>
      <c r="CG280" s="261">
        <v>8854229</v>
      </c>
      <c r="CH280" s="202">
        <v>23</v>
      </c>
      <c r="CI280" s="261">
        <f t="shared" si="122"/>
        <v>3119.4415649807693</v>
      </c>
      <c r="CJ280" s="261">
        <f t="shared" si="123"/>
        <v>613906099.98821545</v>
      </c>
      <c r="CL280">
        <v>127640</v>
      </c>
      <c r="CM280" s="299">
        <v>2019</v>
      </c>
      <c r="CN280" s="299">
        <v>1550</v>
      </c>
      <c r="CO280" s="300" t="s">
        <v>258</v>
      </c>
      <c r="CP280" s="299">
        <v>755</v>
      </c>
      <c r="CQ280" s="299">
        <v>129</v>
      </c>
      <c r="CR280" s="294" t="s">
        <v>432</v>
      </c>
      <c r="CS280" s="294" t="s">
        <v>433</v>
      </c>
      <c r="CT280" s="294" t="s">
        <v>436</v>
      </c>
      <c r="CU280" s="301">
        <v>19771902</v>
      </c>
      <c r="DB280">
        <f t="shared" si="119"/>
        <v>33</v>
      </c>
      <c r="DC280" s="595" t="s">
        <v>1028</v>
      </c>
      <c r="DD280" s="595" t="s">
        <v>1029</v>
      </c>
      <c r="DE280" s="595" t="s">
        <v>694</v>
      </c>
      <c r="DF280" s="286">
        <v>30809</v>
      </c>
      <c r="DG280" s="286">
        <v>2580483</v>
      </c>
      <c r="DH280" s="286">
        <v>225448050.00000003</v>
      </c>
      <c r="DI280" s="286">
        <v>95666858</v>
      </c>
      <c r="DJ280">
        <v>33</v>
      </c>
      <c r="DK280" s="643">
        <f t="shared" si="120"/>
        <v>3091.5868848384584</v>
      </c>
      <c r="DL280" s="408">
        <f t="shared" si="121"/>
        <v>7977787399.3485994</v>
      </c>
      <c r="DM280" s="286"/>
      <c r="DN280" s="286"/>
      <c r="FH280">
        <v>33</v>
      </c>
      <c r="FI280" t="s">
        <v>1026</v>
      </c>
      <c r="FJ280" t="s">
        <v>1027</v>
      </c>
      <c r="FK280" t="s">
        <v>688</v>
      </c>
      <c r="FL280" s="286">
        <v>5560</v>
      </c>
      <c r="FM280" s="286">
        <v>483720</v>
      </c>
      <c r="FN280" s="286">
        <v>34520453</v>
      </c>
      <c r="FO280" s="286">
        <v>16869270</v>
      </c>
      <c r="FP280">
        <v>32</v>
      </c>
      <c r="FQ280" s="925">
        <v>1383.6810951873679</v>
      </c>
      <c r="FR280" s="926">
        <v>669314219.36403358</v>
      </c>
      <c r="FS280">
        <v>0</v>
      </c>
    </row>
    <row r="281" spans="76:178">
      <c r="BX281" s="623"/>
      <c r="BY281" t="s">
        <v>1180</v>
      </c>
      <c r="BZ281" t="s">
        <v>1181</v>
      </c>
      <c r="CA281">
        <v>1</v>
      </c>
      <c r="CB281">
        <v>1</v>
      </c>
      <c r="CC281" t="s">
        <v>700</v>
      </c>
      <c r="CD281" s="286">
        <v>51920</v>
      </c>
      <c r="CE281" s="296">
        <v>850800</v>
      </c>
      <c r="CF281" s="261">
        <v>48966444</v>
      </c>
      <c r="CG281" s="261">
        <v>39594062</v>
      </c>
      <c r="CH281" s="202">
        <v>23</v>
      </c>
      <c r="CI281" s="261">
        <f t="shared" si="122"/>
        <v>3119.4415649807693</v>
      </c>
      <c r="CJ281" s="261">
        <f t="shared" si="123"/>
        <v>2654020883.4856386</v>
      </c>
      <c r="CL281">
        <v>23560</v>
      </c>
      <c r="CM281" s="299">
        <v>2019</v>
      </c>
      <c r="CN281" s="299">
        <v>1550</v>
      </c>
      <c r="CO281" s="300" t="s">
        <v>258</v>
      </c>
      <c r="CP281" s="299">
        <v>755</v>
      </c>
      <c r="CQ281" s="299">
        <v>130</v>
      </c>
      <c r="CR281" s="294" t="s">
        <v>437</v>
      </c>
      <c r="CS281" s="294" t="s">
        <v>438</v>
      </c>
      <c r="CT281" s="294" t="s">
        <v>439</v>
      </c>
      <c r="CU281" s="301">
        <v>23042</v>
      </c>
      <c r="DB281">
        <f t="shared" si="119"/>
        <v>33</v>
      </c>
      <c r="DC281" s="595" t="s">
        <v>1028</v>
      </c>
      <c r="DD281" s="595" t="s">
        <v>1029</v>
      </c>
      <c r="DE281" s="595" t="s">
        <v>688</v>
      </c>
      <c r="DF281" s="286">
        <v>9952</v>
      </c>
      <c r="DG281" s="286">
        <v>830720</v>
      </c>
      <c r="DH281" s="286">
        <v>67254656</v>
      </c>
      <c r="DI281" s="286">
        <v>34354913</v>
      </c>
      <c r="DJ281">
        <v>33</v>
      </c>
      <c r="DK281" s="643">
        <f t="shared" si="120"/>
        <v>3091.5868848384584</v>
      </c>
      <c r="DL281" s="408">
        <f t="shared" si="121"/>
        <v>2568243056.9730043</v>
      </c>
      <c r="DM281" s="286"/>
      <c r="DN281" s="286"/>
      <c r="FH281">
        <v>33</v>
      </c>
      <c r="FI281" t="s">
        <v>1028</v>
      </c>
      <c r="FJ281" t="s">
        <v>1029</v>
      </c>
      <c r="FK281" t="s">
        <v>688</v>
      </c>
      <c r="FL281" s="286">
        <v>9952</v>
      </c>
      <c r="FM281" s="286">
        <v>830720</v>
      </c>
      <c r="FN281" s="286">
        <v>67254656</v>
      </c>
      <c r="FO281" s="286">
        <v>34354913</v>
      </c>
      <c r="FP281">
        <v>33</v>
      </c>
      <c r="FQ281" s="925">
        <v>3091.5868848384584</v>
      </c>
      <c r="FR281" s="926">
        <v>2568243056.9730043</v>
      </c>
      <c r="FS281">
        <v>0</v>
      </c>
    </row>
    <row r="282" spans="76:178">
      <c r="BX282" s="623"/>
      <c r="BY282" t="s">
        <v>1184</v>
      </c>
      <c r="BZ282" t="s">
        <v>1185</v>
      </c>
      <c r="CA282">
        <v>1</v>
      </c>
      <c r="CB282">
        <v>1</v>
      </c>
      <c r="CC282" t="s">
        <v>700</v>
      </c>
      <c r="CD282" s="286">
        <v>440</v>
      </c>
      <c r="CE282" s="296">
        <v>7280</v>
      </c>
      <c r="CF282" s="261">
        <v>701893</v>
      </c>
      <c r="CG282" s="261">
        <v>263422</v>
      </c>
      <c r="CH282" s="202">
        <v>17</v>
      </c>
      <c r="CI282" s="261">
        <f t="shared" si="122"/>
        <v>519.17405707126977</v>
      </c>
      <c r="CJ282" s="261">
        <f t="shared" si="123"/>
        <v>3779587.1354788439</v>
      </c>
      <c r="CL282">
        <v>4720</v>
      </c>
      <c r="CM282" s="299">
        <v>2019</v>
      </c>
      <c r="CN282" s="299">
        <v>1550</v>
      </c>
      <c r="CO282" s="300" t="s">
        <v>258</v>
      </c>
      <c r="CP282" s="299">
        <v>755</v>
      </c>
      <c r="CQ282" s="299">
        <v>131</v>
      </c>
      <c r="CR282" s="294" t="s">
        <v>437</v>
      </c>
      <c r="CS282" s="294" t="s">
        <v>438</v>
      </c>
      <c r="CT282" s="294" t="s">
        <v>440</v>
      </c>
      <c r="CU282" s="301">
        <v>361</v>
      </c>
      <c r="DB282">
        <f t="shared" si="119"/>
        <v>33</v>
      </c>
      <c r="DC282" s="595" t="s">
        <v>871</v>
      </c>
      <c r="DD282" s="595" t="s">
        <v>872</v>
      </c>
      <c r="DE282" s="595" t="s">
        <v>687</v>
      </c>
      <c r="DF282" s="286">
        <v>1400</v>
      </c>
      <c r="DG282" s="286">
        <v>122880</v>
      </c>
      <c r="DH282" s="286">
        <v>7411013</v>
      </c>
      <c r="DI282" s="286">
        <v>2862591</v>
      </c>
      <c r="DJ282">
        <v>32</v>
      </c>
      <c r="DK282" s="643">
        <f t="shared" si="120"/>
        <v>1383.6810951873679</v>
      </c>
      <c r="DL282" s="408">
        <f t="shared" si="121"/>
        <v>170026732.97662377</v>
      </c>
      <c r="DM282" s="286"/>
      <c r="DN282" s="286"/>
      <c r="FH282">
        <v>37</v>
      </c>
      <c r="FI282" t="s">
        <v>883</v>
      </c>
      <c r="FJ282" t="s">
        <v>884</v>
      </c>
      <c r="FK282" t="s">
        <v>688</v>
      </c>
      <c r="FL282" s="286">
        <v>7628</v>
      </c>
      <c r="FM282" s="286">
        <v>201096</v>
      </c>
      <c r="FN282" s="286">
        <v>16460716</v>
      </c>
      <c r="FO282" s="286">
        <v>8167546</v>
      </c>
      <c r="FP282">
        <v>36</v>
      </c>
      <c r="FQ282" s="925">
        <v>7463.6077432689826</v>
      </c>
      <c r="FR282" s="926">
        <v>1500901662.7404194</v>
      </c>
      <c r="FS282">
        <v>0</v>
      </c>
    </row>
    <row r="283" spans="76:178">
      <c r="BX283" s="623"/>
      <c r="BY283" t="s">
        <v>1186</v>
      </c>
      <c r="BZ283" t="s">
        <v>1187</v>
      </c>
      <c r="CA283">
        <v>1</v>
      </c>
      <c r="CB283">
        <v>1</v>
      </c>
      <c r="CC283" t="s">
        <v>700</v>
      </c>
      <c r="CD283" s="286">
        <v>360</v>
      </c>
      <c r="CE283" s="296">
        <v>6840</v>
      </c>
      <c r="CF283" s="261">
        <v>614207</v>
      </c>
      <c r="CG283" s="261">
        <v>298570</v>
      </c>
      <c r="CH283" s="202">
        <v>19</v>
      </c>
      <c r="CI283" s="261">
        <f t="shared" si="122"/>
        <v>318.85396595091396</v>
      </c>
      <c r="CJ283" s="261">
        <f t="shared" si="123"/>
        <v>2180961.1271042516</v>
      </c>
      <c r="CL283">
        <v>72920</v>
      </c>
      <c r="CM283" s="299">
        <v>2019</v>
      </c>
      <c r="CN283" s="299">
        <v>1550</v>
      </c>
      <c r="CO283" s="300" t="s">
        <v>258</v>
      </c>
      <c r="CP283" s="299">
        <v>755</v>
      </c>
      <c r="CQ283" s="299">
        <v>132</v>
      </c>
      <c r="CR283" s="294" t="s">
        <v>437</v>
      </c>
      <c r="CS283" s="294" t="s">
        <v>441</v>
      </c>
      <c r="CT283" s="294" t="s">
        <v>442</v>
      </c>
      <c r="CU283" s="301">
        <v>0</v>
      </c>
      <c r="DB283">
        <f t="shared" si="119"/>
        <v>33</v>
      </c>
      <c r="DC283" s="595" t="s">
        <v>1030</v>
      </c>
      <c r="DD283" s="595" t="s">
        <v>1031</v>
      </c>
      <c r="DE283" s="595" t="s">
        <v>689</v>
      </c>
      <c r="DF283" s="286">
        <v>876</v>
      </c>
      <c r="DG283" s="286">
        <v>67320</v>
      </c>
      <c r="DH283" s="286">
        <v>4003704</v>
      </c>
      <c r="DI283" s="286">
        <v>1267860</v>
      </c>
      <c r="DJ283">
        <v>33</v>
      </c>
      <c r="DK283" s="643">
        <f t="shared" si="120"/>
        <v>3091.5868848384584</v>
      </c>
      <c r="DL283" s="408">
        <f t="shared" si="121"/>
        <v>208125629.08732504</v>
      </c>
      <c r="DM283" s="286"/>
      <c r="DN283" s="286"/>
      <c r="FH283">
        <v>40</v>
      </c>
      <c r="FI283" t="s">
        <v>1034</v>
      </c>
      <c r="FJ283" t="s">
        <v>1035</v>
      </c>
      <c r="FK283" t="s">
        <v>688</v>
      </c>
      <c r="FL283" s="286">
        <v>90521</v>
      </c>
      <c r="FM283" s="286">
        <v>8264894</v>
      </c>
      <c r="FN283" s="286">
        <v>234391737.00000003</v>
      </c>
      <c r="FO283" s="286">
        <v>138110072</v>
      </c>
      <c r="FP283">
        <v>41</v>
      </c>
      <c r="FQ283" s="925">
        <v>143.17663014662168</v>
      </c>
      <c r="FR283" s="926">
        <v>1183339671.4390326</v>
      </c>
      <c r="FS283">
        <v>0</v>
      </c>
    </row>
    <row r="284" spans="76:178">
      <c r="BX284" s="623"/>
      <c r="BY284" t="s">
        <v>1190</v>
      </c>
      <c r="BZ284" t="s">
        <v>1191</v>
      </c>
      <c r="CA284">
        <v>1</v>
      </c>
      <c r="CB284">
        <v>1</v>
      </c>
      <c r="CC284" t="s">
        <v>700</v>
      </c>
      <c r="CD284" s="286">
        <v>4200</v>
      </c>
      <c r="CE284" s="296">
        <v>66600</v>
      </c>
      <c r="CF284" s="261">
        <v>3792973</v>
      </c>
      <c r="CG284" s="261">
        <v>2946440</v>
      </c>
      <c r="CH284" s="202">
        <v>17</v>
      </c>
      <c r="CI284" s="261">
        <f t="shared" si="122"/>
        <v>519.17405707126977</v>
      </c>
      <c r="CJ284" s="261">
        <f t="shared" si="123"/>
        <v>34576992.200946569</v>
      </c>
      <c r="CL284">
        <v>21800</v>
      </c>
      <c r="CM284" s="299">
        <v>2019</v>
      </c>
      <c r="CN284" s="299">
        <v>1550</v>
      </c>
      <c r="CO284" s="300" t="s">
        <v>258</v>
      </c>
      <c r="CP284" s="299">
        <v>755</v>
      </c>
      <c r="CQ284" s="299">
        <v>133</v>
      </c>
      <c r="CR284" s="294" t="s">
        <v>437</v>
      </c>
      <c r="CS284" s="294" t="s">
        <v>443</v>
      </c>
      <c r="CT284" s="294" t="s">
        <v>444</v>
      </c>
      <c r="CU284" s="301">
        <v>23403</v>
      </c>
      <c r="DB284">
        <f t="shared" si="119"/>
        <v>33</v>
      </c>
      <c r="DC284" s="595" t="s">
        <v>1030</v>
      </c>
      <c r="DD284" s="595" t="s">
        <v>1031</v>
      </c>
      <c r="DE284" s="595" t="s">
        <v>694</v>
      </c>
      <c r="DF284" s="286">
        <v>3856</v>
      </c>
      <c r="DG284" s="286">
        <v>317484</v>
      </c>
      <c r="DH284" s="286">
        <v>20715388</v>
      </c>
      <c r="DI284" s="286">
        <v>10582768</v>
      </c>
      <c r="DJ284">
        <v>33</v>
      </c>
      <c r="DK284" s="643">
        <f t="shared" si="120"/>
        <v>3091.5868848384584</v>
      </c>
      <c r="DL284" s="408">
        <f t="shared" si="121"/>
        <v>981529370.54605317</v>
      </c>
      <c r="DM284" s="286"/>
      <c r="DN284" s="286"/>
      <c r="FH284">
        <v>40</v>
      </c>
      <c r="FI284" t="s">
        <v>1036</v>
      </c>
      <c r="FJ284" t="s">
        <v>1037</v>
      </c>
      <c r="FK284" t="s">
        <v>688</v>
      </c>
      <c r="FL284" s="286">
        <v>17728</v>
      </c>
      <c r="FM284" s="286">
        <v>1733936.0000000002</v>
      </c>
      <c r="FN284" s="286">
        <v>53020780</v>
      </c>
      <c r="FO284" s="286">
        <v>31898432.999999996</v>
      </c>
      <c r="FP284">
        <v>41</v>
      </c>
      <c r="FQ284" s="925">
        <v>143.17663014662168</v>
      </c>
      <c r="FR284" s="926">
        <v>248259113.36991262</v>
      </c>
      <c r="FS284">
        <v>0</v>
      </c>
    </row>
    <row r="285" spans="76:178">
      <c r="BX285" s="623"/>
      <c r="BY285" t="s">
        <v>1192</v>
      </c>
      <c r="BZ285" t="s">
        <v>1193</v>
      </c>
      <c r="CA285">
        <v>1</v>
      </c>
      <c r="CB285">
        <v>1</v>
      </c>
      <c r="CC285" t="s">
        <v>700</v>
      </c>
      <c r="CD285" s="286">
        <v>1440</v>
      </c>
      <c r="CE285" s="296">
        <v>19320</v>
      </c>
      <c r="CF285" s="261">
        <v>1827518</v>
      </c>
      <c r="CG285" s="261">
        <v>851940</v>
      </c>
      <c r="CH285" s="202">
        <v>17</v>
      </c>
      <c r="CI285" s="261">
        <f t="shared" si="122"/>
        <v>519.17405707126977</v>
      </c>
      <c r="CJ285" s="261">
        <f t="shared" si="123"/>
        <v>10030442.782616932</v>
      </c>
      <c r="CL285">
        <v>996440</v>
      </c>
      <c r="CM285" s="299">
        <v>2019</v>
      </c>
      <c r="CN285" s="299">
        <v>1550</v>
      </c>
      <c r="CO285" s="300" t="s">
        <v>258</v>
      </c>
      <c r="CP285" s="299">
        <v>755</v>
      </c>
      <c r="CQ285" s="299">
        <v>134</v>
      </c>
      <c r="CR285" s="294" t="s">
        <v>445</v>
      </c>
      <c r="CS285" s="294" t="s">
        <v>446</v>
      </c>
      <c r="CT285" s="294" t="s">
        <v>447</v>
      </c>
      <c r="CU285" s="301">
        <v>459</v>
      </c>
      <c r="DB285">
        <f t="shared" si="119"/>
        <v>33</v>
      </c>
      <c r="DC285" s="595" t="s">
        <v>1030</v>
      </c>
      <c r="DD285" s="595" t="s">
        <v>1031</v>
      </c>
      <c r="DE285" s="595" t="s">
        <v>696</v>
      </c>
      <c r="DF285" s="286">
        <v>1872</v>
      </c>
      <c r="DG285" s="286">
        <v>126836</v>
      </c>
      <c r="DH285" s="286">
        <v>8298023.9999999991</v>
      </c>
      <c r="DI285" s="286">
        <v>2762604</v>
      </c>
      <c r="DJ285">
        <v>33</v>
      </c>
      <c r="DK285" s="643">
        <f t="shared" si="120"/>
        <v>3091.5868848384584</v>
      </c>
      <c r="DL285" s="408">
        <f t="shared" si="121"/>
        <v>392124514.12537074</v>
      </c>
      <c r="DM285" s="286"/>
      <c r="DN285" s="286"/>
      <c r="FL285" s="286">
        <f>SUM(FL276:FL284)</f>
        <v>193415</v>
      </c>
      <c r="FM285" s="286">
        <f>SUM(FM276:FM284)</f>
        <v>17333043</v>
      </c>
      <c r="FN285" s="286"/>
      <c r="FO285" s="286"/>
      <c r="FQ285" s="925">
        <f>FR285/FM285</f>
        <v>820.47053640771276</v>
      </c>
      <c r="FR285" s="408">
        <f>SUM(FR276:FR284)</f>
        <v>14221251087.787951</v>
      </c>
      <c r="FT285" s="927">
        <f>-1*(PMT($EA$23,$EA$24,FQ285,$EA$25*FQ285)/(365*24))</f>
        <v>0.10628652565245121</v>
      </c>
      <c r="FU285" s="790">
        <f>FT285*FV285</f>
        <v>9.5249536977718368</v>
      </c>
      <c r="FV285" s="788">
        <f>FM285/FL285</f>
        <v>89.615815733009327</v>
      </c>
    </row>
    <row r="286" spans="76:178">
      <c r="BX286" s="623"/>
      <c r="BY286" t="s">
        <v>857</v>
      </c>
      <c r="BZ286" t="s">
        <v>858</v>
      </c>
      <c r="CA286">
        <v>1</v>
      </c>
      <c r="CB286">
        <v>1</v>
      </c>
      <c r="CC286" t="s">
        <v>700</v>
      </c>
      <c r="CD286" s="286">
        <v>600</v>
      </c>
      <c r="CE286" s="296">
        <v>11720</v>
      </c>
      <c r="CF286" s="261">
        <v>903113</v>
      </c>
      <c r="CG286" s="261">
        <v>362503</v>
      </c>
      <c r="CH286" s="202">
        <v>31</v>
      </c>
      <c r="CI286" s="261">
        <f t="shared" si="122"/>
        <v>254.37342899264078</v>
      </c>
      <c r="CJ286" s="261">
        <f t="shared" si="123"/>
        <v>2981256.5877937498</v>
      </c>
      <c r="CL286">
        <v>196800</v>
      </c>
      <c r="CM286" s="299">
        <v>2019</v>
      </c>
      <c r="CN286" s="299">
        <v>2670</v>
      </c>
      <c r="CO286" s="300" t="s">
        <v>257</v>
      </c>
      <c r="CP286" s="299">
        <v>755</v>
      </c>
      <c r="CQ286" s="299">
        <v>1</v>
      </c>
      <c r="CR286" s="294" t="s">
        <v>382</v>
      </c>
      <c r="CS286" s="294" t="s">
        <v>383</v>
      </c>
      <c r="CT286" s="294" t="s">
        <v>384</v>
      </c>
      <c r="CU286" s="301">
        <v>20107</v>
      </c>
      <c r="DB286">
        <f t="shared" si="119"/>
        <v>33</v>
      </c>
      <c r="DC286" s="595" t="s">
        <v>1065</v>
      </c>
      <c r="DD286" s="595" t="s">
        <v>1066</v>
      </c>
      <c r="DE286" s="595" t="s">
        <v>694</v>
      </c>
      <c r="DF286" s="286">
        <v>880</v>
      </c>
      <c r="DG286" s="286">
        <v>64239.999999999993</v>
      </c>
      <c r="DH286" s="286">
        <v>5670836</v>
      </c>
      <c r="DI286" s="286">
        <v>2671396</v>
      </c>
      <c r="DJ286">
        <v>33</v>
      </c>
      <c r="DK286" s="643">
        <f t="shared" si="120"/>
        <v>3091.5868848384584</v>
      </c>
      <c r="DL286" s="408">
        <f t="shared" si="121"/>
        <v>198603541.48202255</v>
      </c>
      <c r="DM286" s="286"/>
      <c r="DN286" s="286"/>
      <c r="FL286" s="286"/>
      <c r="FM286" s="286"/>
      <c r="FN286" s="286"/>
      <c r="FO286" s="286"/>
      <c r="FQ286" s="925"/>
      <c r="FR286" s="926"/>
    </row>
    <row r="287" spans="76:178">
      <c r="BX287" s="623"/>
      <c r="BY287" t="s">
        <v>1396</v>
      </c>
      <c r="BZ287" t="s">
        <v>1397</v>
      </c>
      <c r="CA287">
        <v>1</v>
      </c>
      <c r="CB287">
        <v>1</v>
      </c>
      <c r="CC287" t="s">
        <v>700</v>
      </c>
      <c r="CD287" s="286">
        <v>9400</v>
      </c>
      <c r="CE287" s="296">
        <v>187880</v>
      </c>
      <c r="CF287" s="261">
        <v>8720316</v>
      </c>
      <c r="CG287" s="261">
        <v>9187651</v>
      </c>
      <c r="CH287" s="202">
        <v>31</v>
      </c>
      <c r="CI287" s="261">
        <f t="shared" si="122"/>
        <v>254.37342899264078</v>
      </c>
      <c r="CJ287" s="261">
        <f t="shared" si="123"/>
        <v>47791679.839137353</v>
      </c>
      <c r="CL287">
        <v>850800</v>
      </c>
      <c r="CM287" s="299">
        <v>2019</v>
      </c>
      <c r="CN287" s="299">
        <v>2670</v>
      </c>
      <c r="CO287" s="300" t="s">
        <v>257</v>
      </c>
      <c r="CP287" s="299">
        <v>755</v>
      </c>
      <c r="CQ287" s="299">
        <v>2</v>
      </c>
      <c r="CR287" s="294" t="s">
        <v>320</v>
      </c>
      <c r="CS287" s="294" t="s">
        <v>321</v>
      </c>
      <c r="CT287" s="294" t="s">
        <v>322</v>
      </c>
      <c r="CU287" s="301">
        <v>10902195</v>
      </c>
      <c r="DB287">
        <f t="shared" si="119"/>
        <v>33</v>
      </c>
      <c r="DC287" s="595" t="s">
        <v>873</v>
      </c>
      <c r="DD287" s="595" t="s">
        <v>874</v>
      </c>
      <c r="DE287" s="595" t="s">
        <v>687</v>
      </c>
      <c r="DF287" s="286">
        <v>5732</v>
      </c>
      <c r="DG287" s="286">
        <v>535256.00000000012</v>
      </c>
      <c r="DH287" s="286">
        <v>29387510.000000004</v>
      </c>
      <c r="DI287" s="286">
        <v>18495063.000000004</v>
      </c>
      <c r="DJ287">
        <v>32</v>
      </c>
      <c r="DK287" s="643">
        <f t="shared" si="120"/>
        <v>1383.6810951873679</v>
      </c>
      <c r="DL287" s="408">
        <f t="shared" si="121"/>
        <v>740623608.28560996</v>
      </c>
      <c r="DM287" s="286"/>
      <c r="DN287" s="286"/>
      <c r="FH287">
        <v>32</v>
      </c>
      <c r="FI287" t="s">
        <v>867</v>
      </c>
      <c r="FJ287" t="s">
        <v>868</v>
      </c>
      <c r="FK287" t="s">
        <v>691</v>
      </c>
      <c r="FL287" s="286">
        <v>2480</v>
      </c>
      <c r="FM287" s="286">
        <v>247428</v>
      </c>
      <c r="FN287" s="286">
        <v>6626284</v>
      </c>
      <c r="FO287" s="286">
        <v>5779770</v>
      </c>
      <c r="FP287">
        <v>13</v>
      </c>
      <c r="FQ287" s="925">
        <v>106.2931379319991</v>
      </c>
      <c r="FR287" s="926">
        <v>26299898.532238673</v>
      </c>
      <c r="FS287">
        <v>0</v>
      </c>
    </row>
    <row r="288" spans="76:178">
      <c r="BX288" s="623"/>
      <c r="BY288" t="s">
        <v>1196</v>
      </c>
      <c r="BZ288" t="s">
        <v>1197</v>
      </c>
      <c r="CA288">
        <v>1</v>
      </c>
      <c r="CB288">
        <v>1</v>
      </c>
      <c r="CC288" t="s">
        <v>700</v>
      </c>
      <c r="CD288" s="286">
        <v>1000</v>
      </c>
      <c r="CE288" s="296">
        <v>17360</v>
      </c>
      <c r="CF288" s="261">
        <v>1851989</v>
      </c>
      <c r="CG288" s="261">
        <v>945045</v>
      </c>
      <c r="CH288" s="202">
        <v>19</v>
      </c>
      <c r="CI288" s="261">
        <f t="shared" si="122"/>
        <v>318.85396595091396</v>
      </c>
      <c r="CJ288" s="261">
        <f t="shared" si="123"/>
        <v>5535304.8489078665</v>
      </c>
      <c r="CL288">
        <v>7280</v>
      </c>
      <c r="CM288" s="299">
        <v>2019</v>
      </c>
      <c r="CN288" s="299">
        <v>2670</v>
      </c>
      <c r="CO288" s="300" t="s">
        <v>257</v>
      </c>
      <c r="CP288" s="299">
        <v>755</v>
      </c>
      <c r="CQ288" s="299">
        <v>3</v>
      </c>
      <c r="CR288" s="294" t="s">
        <v>320</v>
      </c>
      <c r="CS288" s="294" t="s">
        <v>321</v>
      </c>
      <c r="CT288" s="294" t="s">
        <v>323</v>
      </c>
      <c r="CU288" s="301">
        <v>12863399</v>
      </c>
      <c r="DB288">
        <f t="shared" si="119"/>
        <v>33</v>
      </c>
      <c r="DC288" s="595" t="s">
        <v>875</v>
      </c>
      <c r="DD288" s="595" t="s">
        <v>876</v>
      </c>
      <c r="DE288" s="595" t="s">
        <v>687</v>
      </c>
      <c r="DF288" s="286">
        <v>2000</v>
      </c>
      <c r="DG288" s="286">
        <v>184920.00000000003</v>
      </c>
      <c r="DH288" s="286">
        <v>10045364</v>
      </c>
      <c r="DI288" s="286">
        <v>6285142</v>
      </c>
      <c r="DJ288">
        <v>32</v>
      </c>
      <c r="DK288" s="643">
        <f t="shared" si="120"/>
        <v>1383.6810951873679</v>
      </c>
      <c r="DL288" s="408">
        <f t="shared" si="121"/>
        <v>255870308.12204811</v>
      </c>
      <c r="DM288" s="286"/>
      <c r="DN288" s="286"/>
      <c r="FH288">
        <v>29</v>
      </c>
      <c r="FI288" t="s">
        <v>997</v>
      </c>
      <c r="FJ288" t="s">
        <v>998</v>
      </c>
      <c r="FK288" t="s">
        <v>691</v>
      </c>
      <c r="FL288" s="286">
        <v>19581</v>
      </c>
      <c r="FM288" s="286">
        <v>1677976</v>
      </c>
      <c r="FN288" s="286">
        <v>64284615</v>
      </c>
      <c r="FO288" s="286">
        <v>21705522</v>
      </c>
      <c r="FP288">
        <v>19</v>
      </c>
      <c r="FQ288" s="925">
        <v>318.85396595091396</v>
      </c>
      <c r="FR288" s="926">
        <v>535029302.37045079</v>
      </c>
      <c r="FS288">
        <v>0</v>
      </c>
    </row>
    <row r="289" spans="76:178">
      <c r="BX289" s="623"/>
      <c r="BY289" t="s">
        <v>1398</v>
      </c>
      <c r="BZ289" t="s">
        <v>1399</v>
      </c>
      <c r="CA289">
        <v>1</v>
      </c>
      <c r="CB289">
        <v>1</v>
      </c>
      <c r="CC289" t="s">
        <v>700</v>
      </c>
      <c r="CD289" s="286">
        <v>58120</v>
      </c>
      <c r="CE289" s="296">
        <v>802080</v>
      </c>
      <c r="CF289" s="261">
        <v>67178551</v>
      </c>
      <c r="CG289" s="261">
        <v>44401129</v>
      </c>
      <c r="CH289" s="202">
        <v>24</v>
      </c>
      <c r="CI289" s="261">
        <f t="shared" si="122"/>
        <v>2791.0393486833841</v>
      </c>
      <c r="CJ289" s="261">
        <f t="shared" si="123"/>
        <v>2238636840.7919688</v>
      </c>
      <c r="CL289">
        <v>6840</v>
      </c>
      <c r="CM289" s="299">
        <v>2019</v>
      </c>
      <c r="CN289" s="299">
        <v>2670</v>
      </c>
      <c r="CO289" s="300" t="s">
        <v>257</v>
      </c>
      <c r="CP289" s="299">
        <v>755</v>
      </c>
      <c r="CQ289" s="299">
        <v>4</v>
      </c>
      <c r="CR289" s="294" t="s">
        <v>320</v>
      </c>
      <c r="CS289" s="294" t="s">
        <v>324</v>
      </c>
      <c r="CT289" s="294" t="s">
        <v>325</v>
      </c>
      <c r="CU289" s="301">
        <v>37905774</v>
      </c>
      <c r="DB289">
        <f t="shared" ref="DB289:DB334" si="124">VALUE(LEFT(DC289,2))</f>
        <v>33</v>
      </c>
      <c r="DC289" s="595" t="s">
        <v>877</v>
      </c>
      <c r="DD289" s="595" t="s">
        <v>878</v>
      </c>
      <c r="DE289" s="595" t="s">
        <v>687</v>
      </c>
      <c r="DF289" s="286">
        <v>5672</v>
      </c>
      <c r="DG289" s="286">
        <v>517924</v>
      </c>
      <c r="DH289" s="286">
        <v>28492477</v>
      </c>
      <c r="DI289" s="286">
        <v>20124377</v>
      </c>
      <c r="DJ289">
        <v>32</v>
      </c>
      <c r="DK289" s="643">
        <f t="shared" si="120"/>
        <v>1383.6810951873679</v>
      </c>
      <c r="DL289" s="408">
        <f t="shared" si="121"/>
        <v>716641647.54382229</v>
      </c>
      <c r="DM289" s="286"/>
      <c r="DN289" s="286"/>
      <c r="FH289">
        <v>29</v>
      </c>
      <c r="FI289" t="s">
        <v>1079</v>
      </c>
      <c r="FJ289" t="s">
        <v>1080</v>
      </c>
      <c r="FK289" t="s">
        <v>691</v>
      </c>
      <c r="FL289" s="286">
        <v>49187</v>
      </c>
      <c r="FM289" s="286">
        <v>2962677</v>
      </c>
      <c r="FN289" s="286">
        <v>87137097</v>
      </c>
      <c r="FO289" s="286">
        <v>42224087</v>
      </c>
      <c r="FP289">
        <v>19</v>
      </c>
      <c r="FQ289" s="925">
        <v>318.85396595091396</v>
      </c>
      <c r="FR289" s="926">
        <v>944661311.28155589</v>
      </c>
      <c r="FS289">
        <v>0</v>
      </c>
    </row>
    <row r="290" spans="76:178">
      <c r="BX290" s="623"/>
      <c r="BY290" t="s">
        <v>1216</v>
      </c>
      <c r="BZ290" t="s">
        <v>1217</v>
      </c>
      <c r="CA290">
        <v>1</v>
      </c>
      <c r="CB290">
        <v>1</v>
      </c>
      <c r="CC290" t="s">
        <v>699</v>
      </c>
      <c r="CD290" s="286">
        <v>680</v>
      </c>
      <c r="CE290" s="296">
        <v>10880</v>
      </c>
      <c r="CF290" s="261">
        <v>755562</v>
      </c>
      <c r="CG290" s="261">
        <v>523580.00000000006</v>
      </c>
      <c r="CH290" s="202">
        <v>24</v>
      </c>
      <c r="CI290" s="261">
        <f t="shared" si="122"/>
        <v>2791.0393486833841</v>
      </c>
      <c r="CJ290" s="261">
        <f t="shared" si="123"/>
        <v>30366508.113675218</v>
      </c>
      <c r="CL290">
        <v>66600</v>
      </c>
      <c r="CM290" s="299">
        <v>2019</v>
      </c>
      <c r="CN290" s="299">
        <v>2670</v>
      </c>
      <c r="CO290" s="300" t="s">
        <v>257</v>
      </c>
      <c r="CP290" s="299">
        <v>755</v>
      </c>
      <c r="CQ290" s="299">
        <v>5</v>
      </c>
      <c r="CR290" s="294" t="s">
        <v>320</v>
      </c>
      <c r="CS290" s="294" t="s">
        <v>324</v>
      </c>
      <c r="CT290" s="294" t="s">
        <v>326</v>
      </c>
      <c r="CU290" s="301">
        <v>61671368</v>
      </c>
      <c r="DB290">
        <f t="shared" si="124"/>
        <v>33</v>
      </c>
      <c r="DC290" s="595" t="s">
        <v>879</v>
      </c>
      <c r="DD290" s="595" t="s">
        <v>880</v>
      </c>
      <c r="DE290" s="595" t="s">
        <v>687</v>
      </c>
      <c r="DF290" s="286">
        <v>7576</v>
      </c>
      <c r="DG290" s="286">
        <v>753968</v>
      </c>
      <c r="DH290" s="286">
        <v>33612380.000000007</v>
      </c>
      <c r="DI290" s="286">
        <v>21001449.999999996</v>
      </c>
      <c r="DJ290">
        <v>32</v>
      </c>
      <c r="DK290" s="643">
        <f t="shared" ref="DK290:DK334" si="125">VLOOKUP($DJ290,$DC$341:$DG$383,5)</f>
        <v>1383.6810951873679</v>
      </c>
      <c r="DL290" s="408">
        <f t="shared" ref="DL290:DL334" si="126">DK290*DG290</f>
        <v>1043251267.9762294</v>
      </c>
      <c r="DM290" s="286"/>
      <c r="DN290" s="286"/>
      <c r="FH290">
        <v>37</v>
      </c>
      <c r="FI290" t="s">
        <v>883</v>
      </c>
      <c r="FJ290" t="s">
        <v>884</v>
      </c>
      <c r="FK290" t="s">
        <v>691</v>
      </c>
      <c r="FL290" s="286">
        <v>5514</v>
      </c>
      <c r="FM290" s="286">
        <v>142591.99999999997</v>
      </c>
      <c r="FN290" s="286">
        <v>8942708</v>
      </c>
      <c r="FO290" s="286">
        <v>4534123</v>
      </c>
      <c r="FP290">
        <v>36</v>
      </c>
      <c r="FQ290" s="925">
        <v>7463.6077432689826</v>
      </c>
      <c r="FR290" s="926">
        <v>1064250755.3282106</v>
      </c>
      <c r="FS290">
        <v>0</v>
      </c>
    </row>
    <row r="291" spans="76:178">
      <c r="BX291" s="623"/>
      <c r="BY291" t="s">
        <v>1216</v>
      </c>
      <c r="BZ291" t="s">
        <v>1217</v>
      </c>
      <c r="CA291">
        <v>1</v>
      </c>
      <c r="CB291">
        <v>1</v>
      </c>
      <c r="CC291" t="s">
        <v>700</v>
      </c>
      <c r="CD291" s="286">
        <v>45600</v>
      </c>
      <c r="CE291" s="296">
        <v>656840</v>
      </c>
      <c r="CF291" s="261">
        <v>46562043</v>
      </c>
      <c r="CG291" s="261">
        <v>34357895</v>
      </c>
      <c r="CH291" s="202">
        <v>24</v>
      </c>
      <c r="CI291" s="261">
        <f t="shared" si="122"/>
        <v>2791.0393486833841</v>
      </c>
      <c r="CJ291" s="261">
        <f t="shared" si="123"/>
        <v>1833266285.7891941</v>
      </c>
      <c r="CL291">
        <v>19320</v>
      </c>
      <c r="CM291" s="299">
        <v>2019</v>
      </c>
      <c r="CN291" s="299">
        <v>2670</v>
      </c>
      <c r="CO291" s="300" t="s">
        <v>257</v>
      </c>
      <c r="CP291" s="299">
        <v>755</v>
      </c>
      <c r="CQ291" s="299">
        <v>6</v>
      </c>
      <c r="CR291" s="294" t="s">
        <v>320</v>
      </c>
      <c r="CS291" s="294" t="s">
        <v>327</v>
      </c>
      <c r="CT291" s="294" t="s">
        <v>328</v>
      </c>
      <c r="CU291" s="301">
        <v>0</v>
      </c>
      <c r="DB291">
        <f t="shared" si="124"/>
        <v>33</v>
      </c>
      <c r="DC291" s="595" t="s">
        <v>879</v>
      </c>
      <c r="DD291" s="595" t="s">
        <v>880</v>
      </c>
      <c r="DE291" s="595" t="s">
        <v>686</v>
      </c>
      <c r="DF291" s="286">
        <v>240</v>
      </c>
      <c r="DG291" s="286">
        <v>24200</v>
      </c>
      <c r="DH291" s="286">
        <v>609589</v>
      </c>
      <c r="DI291" s="286">
        <v>464311</v>
      </c>
      <c r="DJ291">
        <v>32</v>
      </c>
      <c r="DK291" s="643">
        <f t="shared" si="125"/>
        <v>1383.6810951873679</v>
      </c>
      <c r="DL291" s="408">
        <f t="shared" si="126"/>
        <v>33485082.503534302</v>
      </c>
      <c r="DM291" s="286"/>
      <c r="DN291" s="286"/>
      <c r="FL291" s="286">
        <f>SUM(FL287:FL290)</f>
        <v>76762</v>
      </c>
      <c r="FM291" s="286">
        <f>SUM(FM287:FM290)</f>
        <v>5030673</v>
      </c>
      <c r="FN291" s="286"/>
      <c r="FO291" s="286"/>
      <c r="FQ291" s="925">
        <f>FR291/FM291</f>
        <v>510.91400047517618</v>
      </c>
      <c r="FR291" s="408">
        <f>SUM(FR287:FR290)</f>
        <v>2570241267.5124559</v>
      </c>
      <c r="FT291" s="927">
        <f>-1*(PMT($EA$23,$EA$24,FQ291,$EA$25*FQ291)/(365*24))</f>
        <v>6.6185525997628988E-2</v>
      </c>
      <c r="FU291" s="790">
        <f>FT291*FV291</f>
        <v>4.3375333970854104</v>
      </c>
      <c r="FV291" s="788">
        <f>FM291/FL291</f>
        <v>65.535981344936303</v>
      </c>
    </row>
    <row r="292" spans="76:178">
      <c r="BX292" s="623"/>
      <c r="BY292" t="s">
        <v>1400</v>
      </c>
      <c r="BZ292" t="s">
        <v>1401</v>
      </c>
      <c r="CA292">
        <v>1</v>
      </c>
      <c r="CB292">
        <v>1</v>
      </c>
      <c r="CC292" t="s">
        <v>700</v>
      </c>
      <c r="CD292" s="286">
        <v>1920</v>
      </c>
      <c r="CE292" s="296">
        <v>18440</v>
      </c>
      <c r="CF292" s="261">
        <v>1879522</v>
      </c>
      <c r="CG292" s="261">
        <v>1157181</v>
      </c>
      <c r="CH292" s="202">
        <v>24</v>
      </c>
      <c r="CI292" s="261">
        <f t="shared" si="122"/>
        <v>2791.0393486833841</v>
      </c>
      <c r="CJ292" s="261">
        <f t="shared" si="123"/>
        <v>51466765.589721605</v>
      </c>
      <c r="CL292">
        <v>11720</v>
      </c>
      <c r="CM292" s="299">
        <v>2019</v>
      </c>
      <c r="CN292" s="299">
        <v>2670</v>
      </c>
      <c r="CO292" s="300" t="s">
        <v>257</v>
      </c>
      <c r="CP292" s="299">
        <v>755</v>
      </c>
      <c r="CQ292" s="299">
        <v>7</v>
      </c>
      <c r="CR292" s="294" t="s">
        <v>320</v>
      </c>
      <c r="CS292" s="294" t="s">
        <v>324</v>
      </c>
      <c r="CT292" s="294" t="s">
        <v>329</v>
      </c>
      <c r="CU292" s="301">
        <v>61671368</v>
      </c>
      <c r="DB292">
        <f t="shared" si="124"/>
        <v>33</v>
      </c>
      <c r="DC292" s="595" t="s">
        <v>879</v>
      </c>
      <c r="DD292" s="595" t="s">
        <v>880</v>
      </c>
      <c r="DE292" s="595" t="s">
        <v>694</v>
      </c>
      <c r="DF292" s="286">
        <v>4240</v>
      </c>
      <c r="DG292" s="286">
        <v>386680</v>
      </c>
      <c r="DH292" s="286">
        <v>18734353</v>
      </c>
      <c r="DI292" s="286">
        <v>11371923</v>
      </c>
      <c r="DJ292">
        <v>32</v>
      </c>
      <c r="DK292" s="643">
        <f t="shared" si="125"/>
        <v>1383.6810951873679</v>
      </c>
      <c r="DL292" s="408">
        <f t="shared" si="126"/>
        <v>535041805.8870514</v>
      </c>
      <c r="DM292" s="286"/>
      <c r="DN292" s="286"/>
      <c r="FL292" s="286"/>
      <c r="FM292" s="286"/>
      <c r="FN292" s="286"/>
      <c r="FO292" s="286"/>
      <c r="FQ292" s="925"/>
      <c r="FR292" s="926"/>
    </row>
    <row r="293" spans="76:178">
      <c r="BX293" s="623"/>
      <c r="BY293" t="s">
        <v>1218</v>
      </c>
      <c r="BZ293" t="s">
        <v>1219</v>
      </c>
      <c r="CA293">
        <v>1</v>
      </c>
      <c r="CB293">
        <v>1</v>
      </c>
      <c r="CC293" t="s">
        <v>699</v>
      </c>
      <c r="CD293" s="286">
        <v>480</v>
      </c>
      <c r="CE293" s="296">
        <v>5240</v>
      </c>
      <c r="CF293" s="261">
        <v>420600</v>
      </c>
      <c r="CG293" s="261">
        <v>256469</v>
      </c>
      <c r="CH293" s="202">
        <v>24</v>
      </c>
      <c r="CI293" s="261">
        <f t="shared" si="122"/>
        <v>2791.0393486833841</v>
      </c>
      <c r="CJ293" s="261">
        <f t="shared" si="123"/>
        <v>14625046.187100932</v>
      </c>
      <c r="CL293">
        <v>187880</v>
      </c>
      <c r="CM293" s="299">
        <v>2019</v>
      </c>
      <c r="CN293" s="299">
        <v>2670</v>
      </c>
      <c r="CO293" s="300" t="s">
        <v>257</v>
      </c>
      <c r="CP293" s="299">
        <v>755</v>
      </c>
      <c r="CQ293" s="299">
        <v>8</v>
      </c>
      <c r="CR293" s="294" t="s">
        <v>330</v>
      </c>
      <c r="CS293" s="294" t="s">
        <v>331</v>
      </c>
      <c r="CT293" s="294" t="s">
        <v>322</v>
      </c>
      <c r="CU293" s="301">
        <v>24398204</v>
      </c>
      <c r="DB293">
        <f t="shared" si="124"/>
        <v>33</v>
      </c>
      <c r="DC293" s="595" t="s">
        <v>1032</v>
      </c>
      <c r="DD293" s="595" t="s">
        <v>1033</v>
      </c>
      <c r="DE293" s="595" t="s">
        <v>689</v>
      </c>
      <c r="DF293" s="286">
        <v>1240</v>
      </c>
      <c r="DG293" s="286">
        <v>127160</v>
      </c>
      <c r="DH293" s="286">
        <v>7101555</v>
      </c>
      <c r="DI293" s="286">
        <v>4740405</v>
      </c>
      <c r="DJ293">
        <v>33</v>
      </c>
      <c r="DK293" s="643">
        <f t="shared" si="125"/>
        <v>3091.5868848384584</v>
      </c>
      <c r="DL293" s="408">
        <f t="shared" si="126"/>
        <v>393126188.27605838</v>
      </c>
      <c r="DM293" s="286"/>
      <c r="DN293" s="286"/>
      <c r="FH293">
        <v>24</v>
      </c>
      <c r="FI293" t="s">
        <v>1018</v>
      </c>
      <c r="FJ293" t="s">
        <v>1019</v>
      </c>
      <c r="FK293" t="s">
        <v>697</v>
      </c>
      <c r="FL293" s="286">
        <v>10120</v>
      </c>
      <c r="FM293" s="286">
        <v>879800.00000000012</v>
      </c>
      <c r="FN293" s="286">
        <v>13512239.999999998</v>
      </c>
      <c r="FO293" s="286">
        <v>7838174</v>
      </c>
      <c r="FP293">
        <v>26</v>
      </c>
      <c r="FQ293" s="925">
        <v>528.3954317970871</v>
      </c>
      <c r="FR293" s="926">
        <v>464882300.89507729</v>
      </c>
      <c r="FS293">
        <v>0</v>
      </c>
    </row>
    <row r="294" spans="76:178">
      <c r="BX294" s="623"/>
      <c r="BY294" t="s">
        <v>1218</v>
      </c>
      <c r="BZ294" t="s">
        <v>1219</v>
      </c>
      <c r="CA294">
        <v>1</v>
      </c>
      <c r="CB294">
        <v>1</v>
      </c>
      <c r="CC294" t="s">
        <v>700</v>
      </c>
      <c r="CD294" s="286">
        <v>217200</v>
      </c>
      <c r="CE294" s="296">
        <v>2162600</v>
      </c>
      <c r="CF294" s="261">
        <v>229907591</v>
      </c>
      <c r="CG294" s="261">
        <v>142767224</v>
      </c>
      <c r="CH294" s="202">
        <v>24</v>
      </c>
      <c r="CI294" s="261">
        <f t="shared" si="122"/>
        <v>2791.0393486833841</v>
      </c>
      <c r="CJ294" s="261">
        <f t="shared" si="123"/>
        <v>6035901695.4626865</v>
      </c>
      <c r="CL294">
        <v>17360</v>
      </c>
      <c r="CM294" s="299">
        <v>2019</v>
      </c>
      <c r="CN294" s="299">
        <v>2670</v>
      </c>
      <c r="CO294" s="300" t="s">
        <v>257</v>
      </c>
      <c r="CP294" s="299">
        <v>755</v>
      </c>
      <c r="CQ294" s="299">
        <v>9</v>
      </c>
      <c r="CR294" s="294" t="s">
        <v>330</v>
      </c>
      <c r="CS294" s="294" t="s">
        <v>331</v>
      </c>
      <c r="CT294" s="294" t="s">
        <v>323</v>
      </c>
      <c r="CU294" s="301">
        <v>21289262</v>
      </c>
      <c r="DB294">
        <f t="shared" si="124"/>
        <v>35</v>
      </c>
      <c r="DC294" s="595" t="s">
        <v>1067</v>
      </c>
      <c r="DD294" s="595" t="s">
        <v>1068</v>
      </c>
      <c r="DE294" s="595" t="s">
        <v>694</v>
      </c>
      <c r="DF294" s="286">
        <v>29314</v>
      </c>
      <c r="DG294" s="286">
        <v>1132320.0000000002</v>
      </c>
      <c r="DH294" s="286">
        <v>177397417.00000003</v>
      </c>
      <c r="DI294" s="286">
        <v>51456931.000000007</v>
      </c>
      <c r="DJ294">
        <v>34</v>
      </c>
      <c r="DK294" s="643">
        <f t="shared" si="125"/>
        <v>8809.1513891176346</v>
      </c>
      <c r="DL294" s="408">
        <f t="shared" si="126"/>
        <v>9974778300.9256821</v>
      </c>
      <c r="DM294" s="286"/>
      <c r="DN294" s="286"/>
      <c r="FH294">
        <v>37</v>
      </c>
      <c r="FI294" t="s">
        <v>883</v>
      </c>
      <c r="FJ294" t="s">
        <v>884</v>
      </c>
      <c r="FK294" t="s">
        <v>697</v>
      </c>
      <c r="FL294" s="286">
        <v>6970</v>
      </c>
      <c r="FM294" s="286">
        <v>172612</v>
      </c>
      <c r="FN294" s="286">
        <v>11884941</v>
      </c>
      <c r="FO294" s="286">
        <v>5183065.0000000009</v>
      </c>
      <c r="FP294">
        <v>36</v>
      </c>
      <c r="FQ294" s="925">
        <v>7463.6077432689826</v>
      </c>
      <c r="FR294" s="926">
        <v>1288308259.7811456</v>
      </c>
      <c r="FS294">
        <v>0</v>
      </c>
    </row>
    <row r="295" spans="76:178">
      <c r="BX295" s="623"/>
      <c r="BY295" t="s">
        <v>1402</v>
      </c>
      <c r="BZ295" t="s">
        <v>1403</v>
      </c>
      <c r="CA295">
        <v>1</v>
      </c>
      <c r="CB295">
        <v>1</v>
      </c>
      <c r="CC295" t="s">
        <v>700</v>
      </c>
      <c r="CD295" s="286">
        <v>1360</v>
      </c>
      <c r="CE295" s="296">
        <v>21840</v>
      </c>
      <c r="CF295" s="261">
        <v>1782155</v>
      </c>
      <c r="CG295" s="261">
        <v>1270134</v>
      </c>
      <c r="CH295" s="202">
        <v>24</v>
      </c>
      <c r="CI295" s="261">
        <f t="shared" si="122"/>
        <v>2791.0393486833841</v>
      </c>
      <c r="CJ295" s="261">
        <f t="shared" si="123"/>
        <v>60956299.375245109</v>
      </c>
      <c r="CL295">
        <v>802080</v>
      </c>
      <c r="CM295" s="299">
        <v>2019</v>
      </c>
      <c r="CN295" s="299">
        <v>2670</v>
      </c>
      <c r="CO295" s="300" t="s">
        <v>257</v>
      </c>
      <c r="CP295" s="299">
        <v>755</v>
      </c>
      <c r="CQ295" s="299">
        <v>10</v>
      </c>
      <c r="CR295" s="294" t="s">
        <v>330</v>
      </c>
      <c r="CS295" s="294" t="s">
        <v>332</v>
      </c>
      <c r="CT295" s="294" t="s">
        <v>325</v>
      </c>
      <c r="CU295" s="301">
        <v>81748321</v>
      </c>
      <c r="DB295">
        <f t="shared" si="124"/>
        <v>36</v>
      </c>
      <c r="DC295" s="595" t="s">
        <v>1069</v>
      </c>
      <c r="DD295" s="595" t="s">
        <v>1070</v>
      </c>
      <c r="DE295" s="595" t="s">
        <v>694</v>
      </c>
      <c r="DF295" s="286">
        <v>1104</v>
      </c>
      <c r="DG295" s="286">
        <v>125172</v>
      </c>
      <c r="DH295" s="286">
        <v>42401648</v>
      </c>
      <c r="DI295" s="286">
        <v>2685480</v>
      </c>
      <c r="DJ295">
        <v>35</v>
      </c>
      <c r="DK295" s="643">
        <f t="shared" si="125"/>
        <v>17409.096095264758</v>
      </c>
      <c r="DL295" s="408">
        <f t="shared" si="126"/>
        <v>2179131376.4364805</v>
      </c>
      <c r="DM295" s="286"/>
      <c r="DN295" s="286"/>
      <c r="FH295">
        <v>40</v>
      </c>
      <c r="FI295" t="s">
        <v>1034</v>
      </c>
      <c r="FJ295" t="s">
        <v>1035</v>
      </c>
      <c r="FK295" t="s">
        <v>697</v>
      </c>
      <c r="FL295" s="286">
        <v>54854</v>
      </c>
      <c r="FM295" s="286">
        <v>5060064</v>
      </c>
      <c r="FN295" s="286">
        <v>130610654</v>
      </c>
      <c r="FO295" s="286">
        <v>71665532</v>
      </c>
      <c r="FP295">
        <v>41</v>
      </c>
      <c r="FQ295" s="925">
        <v>143.17663014662168</v>
      </c>
      <c r="FR295" s="926">
        <v>724482911.84623504</v>
      </c>
      <c r="FS295">
        <v>0</v>
      </c>
    </row>
    <row r="296" spans="76:178">
      <c r="BX296" s="623"/>
      <c r="BY296" t="s">
        <v>1404</v>
      </c>
      <c r="BZ296" t="s">
        <v>1405</v>
      </c>
      <c r="CA296">
        <v>1</v>
      </c>
      <c r="CB296">
        <v>1</v>
      </c>
      <c r="CC296" t="s">
        <v>700</v>
      </c>
      <c r="CD296" s="286">
        <v>7000</v>
      </c>
      <c r="CE296" s="296">
        <v>71640</v>
      </c>
      <c r="CF296" s="261">
        <v>7198101</v>
      </c>
      <c r="CG296" s="261">
        <v>4474307</v>
      </c>
      <c r="CH296" s="202">
        <v>24</v>
      </c>
      <c r="CI296" s="261">
        <f t="shared" si="122"/>
        <v>2791.0393486833841</v>
      </c>
      <c r="CJ296" s="261">
        <f t="shared" si="123"/>
        <v>199950058.93967763</v>
      </c>
      <c r="CL296">
        <v>656840</v>
      </c>
      <c r="CM296" s="299">
        <v>2019</v>
      </c>
      <c r="CN296" s="299">
        <v>2670</v>
      </c>
      <c r="CO296" s="300" t="s">
        <v>257</v>
      </c>
      <c r="CP296" s="299">
        <v>755</v>
      </c>
      <c r="CQ296" s="299">
        <v>11</v>
      </c>
      <c r="CR296" s="294" t="s">
        <v>330</v>
      </c>
      <c r="CS296" s="294" t="s">
        <v>332</v>
      </c>
      <c r="CT296" s="294" t="s">
        <v>333</v>
      </c>
      <c r="CU296" s="301">
        <v>127435787</v>
      </c>
      <c r="DB296">
        <f t="shared" si="124"/>
        <v>37</v>
      </c>
      <c r="DC296" s="595" t="s">
        <v>1202</v>
      </c>
      <c r="DD296" s="595" t="s">
        <v>1203</v>
      </c>
      <c r="DE296" s="595" t="s">
        <v>693</v>
      </c>
      <c r="DF296" s="286">
        <v>1187920</v>
      </c>
      <c r="DG296" s="286">
        <v>25970920</v>
      </c>
      <c r="DH296" s="286">
        <v>3557289473</v>
      </c>
      <c r="DI296" s="286">
        <v>2733327140</v>
      </c>
      <c r="DJ296">
        <v>36</v>
      </c>
      <c r="DK296" s="643">
        <f t="shared" si="125"/>
        <v>7463.6077432689826</v>
      </c>
      <c r="DL296" s="408">
        <f t="shared" si="126"/>
        <v>193836759611.81927</v>
      </c>
      <c r="DM296" s="286"/>
      <c r="DN296" s="286"/>
      <c r="FH296">
        <v>40</v>
      </c>
      <c r="FI296" t="s">
        <v>1036</v>
      </c>
      <c r="FJ296" t="s">
        <v>1037</v>
      </c>
      <c r="FK296" t="s">
        <v>697</v>
      </c>
      <c r="FL296" s="286">
        <v>15864</v>
      </c>
      <c r="FM296" s="286">
        <v>1490664</v>
      </c>
      <c r="FN296" s="286">
        <v>42699600.000000007</v>
      </c>
      <c r="FO296" s="286">
        <v>25308059</v>
      </c>
      <c r="FP296">
        <v>41</v>
      </c>
      <c r="FQ296" s="925">
        <v>143.17663014662168</v>
      </c>
      <c r="FR296" s="926">
        <v>213428248.20088366</v>
      </c>
      <c r="FS296">
        <v>0</v>
      </c>
    </row>
    <row r="297" spans="76:178">
      <c r="BX297" s="623"/>
      <c r="BY297" t="s">
        <v>1406</v>
      </c>
      <c r="BZ297" t="s">
        <v>1407</v>
      </c>
      <c r="CA297">
        <v>1</v>
      </c>
      <c r="CB297">
        <v>1</v>
      </c>
      <c r="CC297" t="s">
        <v>700</v>
      </c>
      <c r="CD297" s="286">
        <v>2960</v>
      </c>
      <c r="CE297" s="296">
        <v>52520</v>
      </c>
      <c r="CF297" s="261">
        <v>3319388</v>
      </c>
      <c r="CG297" s="261">
        <v>2656045</v>
      </c>
      <c r="CH297" s="202">
        <v>24</v>
      </c>
      <c r="CI297" s="261">
        <f t="shared" si="122"/>
        <v>2791.0393486833841</v>
      </c>
      <c r="CJ297" s="261">
        <f t="shared" si="123"/>
        <v>146585386.59285134</v>
      </c>
      <c r="CL297">
        <v>18440</v>
      </c>
      <c r="CM297" s="299">
        <v>2019</v>
      </c>
      <c r="CN297" s="299">
        <v>2670</v>
      </c>
      <c r="CO297" s="300" t="s">
        <v>257</v>
      </c>
      <c r="CP297" s="299">
        <v>755</v>
      </c>
      <c r="CQ297" s="299">
        <v>12</v>
      </c>
      <c r="CR297" s="294" t="s">
        <v>330</v>
      </c>
      <c r="CS297" s="294" t="s">
        <v>334</v>
      </c>
      <c r="CT297" s="294" t="s">
        <v>335</v>
      </c>
      <c r="CU297" s="301">
        <v>3530502</v>
      </c>
      <c r="DB297">
        <f t="shared" si="124"/>
        <v>37</v>
      </c>
      <c r="DC297" s="595" t="s">
        <v>1204</v>
      </c>
      <c r="DD297" s="595" t="s">
        <v>1205</v>
      </c>
      <c r="DE297" s="595" t="s">
        <v>693</v>
      </c>
      <c r="DF297" s="286">
        <v>499680</v>
      </c>
      <c r="DG297" s="286">
        <v>9970040</v>
      </c>
      <c r="DH297" s="286">
        <v>1483439187</v>
      </c>
      <c r="DI297" s="286">
        <v>1087062303</v>
      </c>
      <c r="DJ297">
        <v>36</v>
      </c>
      <c r="DK297" s="643">
        <f t="shared" si="125"/>
        <v>7463.6077432689826</v>
      </c>
      <c r="DL297" s="408">
        <f t="shared" si="126"/>
        <v>74412467744.701492</v>
      </c>
      <c r="DM297" s="286"/>
      <c r="DN297" s="286"/>
      <c r="FL297" s="286">
        <f>SUM(FL293:FL296)</f>
        <v>87808</v>
      </c>
      <c r="FM297" s="286">
        <f>SUM(FM293:FM296)</f>
        <v>7603140</v>
      </c>
      <c r="FN297" s="286"/>
      <c r="FO297" s="286"/>
      <c r="FQ297" s="925">
        <f>FR297/FM297</f>
        <v>353.94609605022953</v>
      </c>
      <c r="FR297" s="408">
        <f>SUM(FR293:FR296)</f>
        <v>2691101720.7233419</v>
      </c>
      <c r="FT297" s="927">
        <f>-1*(PMT($EA$23,$EA$24,FQ297,$EA$25*FQ297)/(365*24))</f>
        <v>4.5851373264589095E-2</v>
      </c>
      <c r="FU297" s="790">
        <f>FT297*FV297</f>
        <v>3.9701896196579805</v>
      </c>
      <c r="FV297" s="788">
        <f>FM297/FL297</f>
        <v>86.58823797376094</v>
      </c>
    </row>
    <row r="298" spans="76:178">
      <c r="BX298" s="623"/>
      <c r="BY298" t="s">
        <v>1408</v>
      </c>
      <c r="BZ298" t="s">
        <v>1409</v>
      </c>
      <c r="CA298">
        <v>1</v>
      </c>
      <c r="CB298">
        <v>1</v>
      </c>
      <c r="CC298" t="s">
        <v>700</v>
      </c>
      <c r="CD298" s="286">
        <v>20440</v>
      </c>
      <c r="CE298" s="296">
        <v>250320</v>
      </c>
      <c r="CF298" s="261">
        <v>19778657</v>
      </c>
      <c r="CG298" s="261">
        <v>14230112</v>
      </c>
      <c r="CH298" s="202">
        <v>24</v>
      </c>
      <c r="CI298" s="261">
        <f t="shared" si="122"/>
        <v>2791.0393486833841</v>
      </c>
      <c r="CJ298" s="261">
        <f t="shared" si="123"/>
        <v>698652969.76242471</v>
      </c>
      <c r="CL298">
        <v>2162600</v>
      </c>
      <c r="CM298" s="299">
        <v>2019</v>
      </c>
      <c r="CN298" s="299">
        <v>2670</v>
      </c>
      <c r="CO298" s="300" t="s">
        <v>257</v>
      </c>
      <c r="CP298" s="299">
        <v>755</v>
      </c>
      <c r="CQ298" s="299">
        <v>13</v>
      </c>
      <c r="CR298" s="294" t="s">
        <v>330</v>
      </c>
      <c r="CS298" s="294" t="s">
        <v>336</v>
      </c>
      <c r="CT298" s="294" t="s">
        <v>308</v>
      </c>
      <c r="CU298" s="301">
        <v>10116858</v>
      </c>
      <c r="DB298">
        <f t="shared" si="124"/>
        <v>37</v>
      </c>
      <c r="DC298" s="595" t="s">
        <v>1071</v>
      </c>
      <c r="DD298" s="595" t="s">
        <v>1072</v>
      </c>
      <c r="DE298" s="595" t="s">
        <v>694</v>
      </c>
      <c r="DF298" s="286">
        <v>28200</v>
      </c>
      <c r="DG298" s="286">
        <v>848640</v>
      </c>
      <c r="DH298" s="286">
        <v>85828385</v>
      </c>
      <c r="DI298" s="286">
        <v>30577988</v>
      </c>
      <c r="DJ298">
        <v>36</v>
      </c>
      <c r="DK298" s="643">
        <f t="shared" si="125"/>
        <v>7463.6077432689826</v>
      </c>
      <c r="DL298" s="408">
        <f t="shared" si="126"/>
        <v>6333916075.2477894</v>
      </c>
      <c r="DM298" s="286"/>
      <c r="DN298" s="286"/>
      <c r="FL298" s="286"/>
      <c r="FM298" s="286"/>
      <c r="FN298" s="286"/>
      <c r="FO298" s="286"/>
      <c r="FQ298" s="925"/>
      <c r="FR298" s="926"/>
    </row>
    <row r="299" spans="76:178">
      <c r="BX299" s="623"/>
      <c r="BY299" t="s">
        <v>1410</v>
      </c>
      <c r="BZ299" t="s">
        <v>1411</v>
      </c>
      <c r="CA299">
        <v>1</v>
      </c>
      <c r="CB299">
        <v>1</v>
      </c>
      <c r="CC299" t="s">
        <v>700</v>
      </c>
      <c r="CD299" s="286">
        <v>6800</v>
      </c>
      <c r="CE299" s="296">
        <v>100080</v>
      </c>
      <c r="CF299" s="261">
        <v>7621138</v>
      </c>
      <c r="CG299" s="261">
        <v>6240609</v>
      </c>
      <c r="CH299" s="202">
        <v>24</v>
      </c>
      <c r="CI299" s="261">
        <f t="shared" si="122"/>
        <v>2791.0393486833841</v>
      </c>
      <c r="CJ299" s="261">
        <f t="shared" si="123"/>
        <v>279327218.01623309</v>
      </c>
      <c r="CL299">
        <v>21840</v>
      </c>
      <c r="CM299" s="299">
        <v>2019</v>
      </c>
      <c r="CN299" s="299">
        <v>2670</v>
      </c>
      <c r="CO299" s="300" t="s">
        <v>257</v>
      </c>
      <c r="CP299" s="299">
        <v>755</v>
      </c>
      <c r="CQ299" s="299">
        <v>14</v>
      </c>
      <c r="CR299" s="294" t="s">
        <v>330</v>
      </c>
      <c r="CS299" s="294" t="s">
        <v>337</v>
      </c>
      <c r="CT299" s="294" t="s">
        <v>338</v>
      </c>
      <c r="CU299" s="301">
        <v>141083147</v>
      </c>
      <c r="DB299">
        <f t="shared" si="124"/>
        <v>37</v>
      </c>
      <c r="DC299" s="595" t="s">
        <v>881</v>
      </c>
      <c r="DD299" s="595" t="s">
        <v>882</v>
      </c>
      <c r="DE299" s="595" t="s">
        <v>687</v>
      </c>
      <c r="DF299" s="286">
        <v>59400</v>
      </c>
      <c r="DG299" s="286">
        <v>1939679.9999999998</v>
      </c>
      <c r="DH299" s="286">
        <v>176383024</v>
      </c>
      <c r="DI299" s="286">
        <v>90767984</v>
      </c>
      <c r="DJ299">
        <v>36</v>
      </c>
      <c r="DK299" s="643">
        <f t="shared" si="125"/>
        <v>7463.6077432689826</v>
      </c>
      <c r="DL299" s="408">
        <f t="shared" si="126"/>
        <v>14477010667.463978</v>
      </c>
      <c r="DM299" s="286"/>
      <c r="DN299" s="286"/>
      <c r="FH299">
        <v>14</v>
      </c>
      <c r="FI299" t="s">
        <v>1081</v>
      </c>
      <c r="FJ299" t="s">
        <v>1082</v>
      </c>
      <c r="FK299" t="s">
        <v>698</v>
      </c>
      <c r="FL299" s="286">
        <v>2000</v>
      </c>
      <c r="FM299" s="286">
        <v>231674</v>
      </c>
      <c r="FN299" s="286">
        <v>1630413</v>
      </c>
      <c r="FO299" s="286">
        <v>1034321.9999999999</v>
      </c>
      <c r="FP299">
        <v>11</v>
      </c>
      <c r="FQ299" s="925">
        <v>18.422893971718388</v>
      </c>
      <c r="FR299" s="926">
        <v>4268105.5380038861</v>
      </c>
      <c r="FS299">
        <v>0</v>
      </c>
    </row>
    <row r="300" spans="76:178">
      <c r="BX300" s="623"/>
      <c r="BY300" t="s">
        <v>1061</v>
      </c>
      <c r="BZ300" t="s">
        <v>1062</v>
      </c>
      <c r="CA300">
        <v>1</v>
      </c>
      <c r="CB300">
        <v>1</v>
      </c>
      <c r="CC300" t="s">
        <v>700</v>
      </c>
      <c r="CD300" s="286">
        <v>3080</v>
      </c>
      <c r="CE300" s="296">
        <v>38720</v>
      </c>
      <c r="CF300" s="261">
        <v>3804653</v>
      </c>
      <c r="CG300" s="261">
        <v>2037371</v>
      </c>
      <c r="CH300" s="202">
        <v>24</v>
      </c>
      <c r="CI300" s="261">
        <f t="shared" si="122"/>
        <v>2791.0393486833841</v>
      </c>
      <c r="CJ300" s="261">
        <f t="shared" si="123"/>
        <v>108069043.58102064</v>
      </c>
      <c r="CL300">
        <v>71640</v>
      </c>
      <c r="CM300" s="299">
        <v>2019</v>
      </c>
      <c r="CN300" s="299">
        <v>2670</v>
      </c>
      <c r="CO300" s="300" t="s">
        <v>257</v>
      </c>
      <c r="CP300" s="299">
        <v>755</v>
      </c>
      <c r="CQ300" s="299">
        <v>15</v>
      </c>
      <c r="CR300" s="294" t="s">
        <v>385</v>
      </c>
      <c r="CS300" s="294" t="s">
        <v>386</v>
      </c>
      <c r="CT300" s="294" t="s">
        <v>387</v>
      </c>
      <c r="CU300" s="301">
        <v>0</v>
      </c>
      <c r="DB300">
        <f t="shared" si="124"/>
        <v>37</v>
      </c>
      <c r="DC300" s="595" t="s">
        <v>883</v>
      </c>
      <c r="DD300" s="595" t="s">
        <v>884</v>
      </c>
      <c r="DE300" s="595" t="s">
        <v>687</v>
      </c>
      <c r="DF300" s="286">
        <v>4364</v>
      </c>
      <c r="DG300" s="286">
        <v>120940</v>
      </c>
      <c r="DH300" s="286">
        <v>9812154.9999999981</v>
      </c>
      <c r="DI300" s="286">
        <v>7530297</v>
      </c>
      <c r="DJ300">
        <v>36</v>
      </c>
      <c r="DK300" s="643">
        <f t="shared" si="125"/>
        <v>7463.6077432689826</v>
      </c>
      <c r="DL300" s="408">
        <f t="shared" si="126"/>
        <v>902648720.47095072</v>
      </c>
      <c r="DM300" s="286"/>
      <c r="DN300" s="286"/>
      <c r="FH300">
        <v>29</v>
      </c>
      <c r="FI300" t="s">
        <v>997</v>
      </c>
      <c r="FJ300" t="s">
        <v>998</v>
      </c>
      <c r="FK300" t="s">
        <v>698</v>
      </c>
      <c r="FL300" s="286">
        <v>58704</v>
      </c>
      <c r="FM300" s="286">
        <v>6240860</v>
      </c>
      <c r="FN300" s="286">
        <v>71323015</v>
      </c>
      <c r="FO300" s="286">
        <v>24321755</v>
      </c>
      <c r="FP300">
        <v>19</v>
      </c>
      <c r="FQ300" s="925">
        <v>318.85396595091396</v>
      </c>
      <c r="FR300" s="926">
        <v>1989922961.9444208</v>
      </c>
      <c r="FS300">
        <v>0</v>
      </c>
    </row>
    <row r="301" spans="76:178">
      <c r="BX301" s="623"/>
      <c r="BY301" t="s">
        <v>1412</v>
      </c>
      <c r="BZ301" t="s">
        <v>1062</v>
      </c>
      <c r="CA301">
        <v>1</v>
      </c>
      <c r="CB301">
        <v>1</v>
      </c>
      <c r="CC301" t="s">
        <v>700</v>
      </c>
      <c r="CD301" s="286">
        <v>1600</v>
      </c>
      <c r="CE301" s="296">
        <v>29440</v>
      </c>
      <c r="CF301" s="261">
        <v>1253736</v>
      </c>
      <c r="CG301" s="261">
        <v>903519</v>
      </c>
      <c r="CH301" s="202">
        <v>24</v>
      </c>
      <c r="CI301" s="261">
        <f t="shared" si="122"/>
        <v>2791.0393486833841</v>
      </c>
      <c r="CJ301" s="261">
        <f t="shared" si="123"/>
        <v>82168198.425238833</v>
      </c>
      <c r="CL301">
        <v>52520</v>
      </c>
      <c r="CM301" s="299">
        <v>2019</v>
      </c>
      <c r="CN301" s="299">
        <v>2670</v>
      </c>
      <c r="CO301" s="300" t="s">
        <v>257</v>
      </c>
      <c r="CP301" s="299">
        <v>755</v>
      </c>
      <c r="CQ301" s="299">
        <v>16</v>
      </c>
      <c r="CR301" s="294" t="s">
        <v>385</v>
      </c>
      <c r="CS301" s="294" t="s">
        <v>386</v>
      </c>
      <c r="CT301" s="294" t="s">
        <v>388</v>
      </c>
      <c r="CU301" s="301">
        <v>10461000</v>
      </c>
      <c r="DB301">
        <f t="shared" si="124"/>
        <v>37</v>
      </c>
      <c r="DC301" s="595" t="s">
        <v>883</v>
      </c>
      <c r="DD301" s="595" t="s">
        <v>884</v>
      </c>
      <c r="DE301" s="595" t="s">
        <v>686</v>
      </c>
      <c r="DF301" s="286">
        <v>1312</v>
      </c>
      <c r="DG301" s="286">
        <v>40320</v>
      </c>
      <c r="DH301" s="286">
        <v>2552040</v>
      </c>
      <c r="DI301" s="286">
        <v>2734081</v>
      </c>
      <c r="DJ301">
        <v>36</v>
      </c>
      <c r="DK301" s="643">
        <f t="shared" si="125"/>
        <v>7463.6077432689826</v>
      </c>
      <c r="DL301" s="408">
        <f t="shared" si="126"/>
        <v>300932664.20860541</v>
      </c>
      <c r="DM301" s="286"/>
      <c r="DN301" s="286"/>
      <c r="FH301">
        <v>29</v>
      </c>
      <c r="FI301" t="s">
        <v>1079</v>
      </c>
      <c r="FJ301" t="s">
        <v>1080</v>
      </c>
      <c r="FK301" t="s">
        <v>698</v>
      </c>
      <c r="FL301" s="286">
        <v>7679</v>
      </c>
      <c r="FM301" s="286">
        <v>505500</v>
      </c>
      <c r="FN301" s="286">
        <v>17426705</v>
      </c>
      <c r="FO301" s="286">
        <v>10287126</v>
      </c>
      <c r="FP301">
        <v>19</v>
      </c>
      <c r="FQ301" s="925">
        <v>318.85396595091396</v>
      </c>
      <c r="FR301" s="926">
        <v>161180679.788187</v>
      </c>
      <c r="FS301">
        <v>0</v>
      </c>
    </row>
    <row r="302" spans="76:178">
      <c r="BX302" s="623"/>
      <c r="BY302" t="s">
        <v>1413</v>
      </c>
      <c r="BZ302" t="s">
        <v>1414</v>
      </c>
      <c r="CA302">
        <v>1</v>
      </c>
      <c r="CB302">
        <v>1</v>
      </c>
      <c r="CC302" t="s">
        <v>700</v>
      </c>
      <c r="CD302" s="286">
        <v>2680</v>
      </c>
      <c r="CE302" s="296">
        <v>25520</v>
      </c>
      <c r="CF302" s="261">
        <v>6825493</v>
      </c>
      <c r="CG302" s="261">
        <v>2838307</v>
      </c>
      <c r="CH302" s="202">
        <v>30</v>
      </c>
      <c r="CI302" s="261">
        <f t="shared" si="122"/>
        <v>9355.1503509553058</v>
      </c>
      <c r="CJ302" s="261">
        <f t="shared" si="123"/>
        <v>238743436.95637941</v>
      </c>
      <c r="CL302">
        <v>250320</v>
      </c>
      <c r="CM302" s="299">
        <v>2019</v>
      </c>
      <c r="CN302" s="299">
        <v>2670</v>
      </c>
      <c r="CO302" s="300" t="s">
        <v>257</v>
      </c>
      <c r="CP302" s="299">
        <v>755</v>
      </c>
      <c r="CQ302" s="299">
        <v>17</v>
      </c>
      <c r="CR302" s="294" t="s">
        <v>385</v>
      </c>
      <c r="CS302" s="294" t="s">
        <v>386</v>
      </c>
      <c r="CT302" s="294" t="s">
        <v>389</v>
      </c>
      <c r="CU302" s="301">
        <v>111142000</v>
      </c>
      <c r="DB302">
        <f t="shared" si="124"/>
        <v>37</v>
      </c>
      <c r="DC302" s="595" t="s">
        <v>883</v>
      </c>
      <c r="DD302" s="595" t="s">
        <v>884</v>
      </c>
      <c r="DE302" s="595" t="s">
        <v>690</v>
      </c>
      <c r="DF302" s="286">
        <v>144677</v>
      </c>
      <c r="DG302" s="286">
        <v>3799428</v>
      </c>
      <c r="DH302" s="286">
        <v>269511126</v>
      </c>
      <c r="DI302" s="286">
        <v>142521264</v>
      </c>
      <c r="DJ302">
        <v>36</v>
      </c>
      <c r="DK302" s="643">
        <f t="shared" si="125"/>
        <v>7463.6077432689826</v>
      </c>
      <c r="DL302" s="408">
        <f t="shared" si="126"/>
        <v>28357440240.792984</v>
      </c>
      <c r="DM302" s="286"/>
      <c r="DN302" s="286"/>
      <c r="FH302">
        <v>24</v>
      </c>
      <c r="FI302" t="s">
        <v>1018</v>
      </c>
      <c r="FJ302" t="s">
        <v>1019</v>
      </c>
      <c r="FK302" t="s">
        <v>698</v>
      </c>
      <c r="FL302" s="286">
        <v>15584</v>
      </c>
      <c r="FM302" s="286">
        <v>1307896</v>
      </c>
      <c r="FN302" s="286">
        <v>19163440</v>
      </c>
      <c r="FO302" s="286">
        <v>13099463</v>
      </c>
      <c r="FP302">
        <v>26</v>
      </c>
      <c r="FQ302" s="925">
        <v>528.3954317970871</v>
      </c>
      <c r="FR302" s="926">
        <v>691086271.66568303</v>
      </c>
      <c r="FS302">
        <v>0</v>
      </c>
    </row>
    <row r="303" spans="76:178">
      <c r="BX303" s="623"/>
      <c r="BY303" t="s">
        <v>1415</v>
      </c>
      <c r="BZ303" t="s">
        <v>1416</v>
      </c>
      <c r="CA303">
        <v>1</v>
      </c>
      <c r="CB303">
        <v>1</v>
      </c>
      <c r="CC303" t="s">
        <v>700</v>
      </c>
      <c r="CD303" s="286">
        <v>3760</v>
      </c>
      <c r="CE303" s="296">
        <v>51360</v>
      </c>
      <c r="CF303" s="261">
        <v>3684280</v>
      </c>
      <c r="CG303" s="261">
        <v>2727293</v>
      </c>
      <c r="CH303" s="202">
        <v>31</v>
      </c>
      <c r="CI303" s="261">
        <f t="shared" si="122"/>
        <v>254.37342899264078</v>
      </c>
      <c r="CJ303" s="261">
        <f t="shared" si="123"/>
        <v>13064619.313062031</v>
      </c>
      <c r="CL303">
        <v>100080</v>
      </c>
      <c r="CM303" s="299">
        <v>2019</v>
      </c>
      <c r="CN303" s="299">
        <v>2670</v>
      </c>
      <c r="CO303" s="300" t="s">
        <v>257</v>
      </c>
      <c r="CP303" s="299">
        <v>755</v>
      </c>
      <c r="CQ303" s="299">
        <v>18</v>
      </c>
      <c r="CR303" s="294" t="s">
        <v>385</v>
      </c>
      <c r="CS303" s="294" t="s">
        <v>386</v>
      </c>
      <c r="CT303" s="294" t="s">
        <v>390</v>
      </c>
      <c r="CU303" s="301">
        <v>185625000</v>
      </c>
      <c r="DB303">
        <f t="shared" si="124"/>
        <v>37</v>
      </c>
      <c r="DC303" s="595" t="s">
        <v>883</v>
      </c>
      <c r="DD303" s="595" t="s">
        <v>884</v>
      </c>
      <c r="DE303" s="595" t="s">
        <v>689</v>
      </c>
      <c r="DF303" s="286">
        <v>6108</v>
      </c>
      <c r="DG303" s="286">
        <v>167995.99999999997</v>
      </c>
      <c r="DH303" s="286">
        <v>12264516</v>
      </c>
      <c r="DI303" s="286">
        <v>7336597</v>
      </c>
      <c r="DJ303">
        <v>36</v>
      </c>
      <c r="DK303" s="643">
        <f t="shared" si="125"/>
        <v>7463.6077432689826</v>
      </c>
      <c r="DL303" s="408">
        <f t="shared" si="126"/>
        <v>1253856246.4382157</v>
      </c>
      <c r="DM303" s="286"/>
      <c r="DN303" s="286"/>
      <c r="FH303">
        <v>37</v>
      </c>
      <c r="FI303" t="s">
        <v>883</v>
      </c>
      <c r="FJ303" t="s">
        <v>884</v>
      </c>
      <c r="FK303" t="s">
        <v>698</v>
      </c>
      <c r="FL303" s="286">
        <v>12807</v>
      </c>
      <c r="FM303" s="286">
        <v>307384</v>
      </c>
      <c r="FN303" s="286">
        <v>21668966.999999996</v>
      </c>
      <c r="FO303" s="286">
        <v>8662930</v>
      </c>
      <c r="FP303">
        <v>36</v>
      </c>
      <c r="FQ303" s="925">
        <v>7463.6077432689826</v>
      </c>
      <c r="FR303" s="926">
        <v>2294193602.556993</v>
      </c>
      <c r="FS303">
        <v>0</v>
      </c>
    </row>
    <row r="304" spans="76:178">
      <c r="BX304" s="623"/>
      <c r="BY304" t="s">
        <v>1417</v>
      </c>
      <c r="BZ304" t="s">
        <v>1418</v>
      </c>
      <c r="CA304">
        <v>1</v>
      </c>
      <c r="CB304">
        <v>1</v>
      </c>
      <c r="CC304" t="s">
        <v>700</v>
      </c>
      <c r="CD304" s="286">
        <v>1000</v>
      </c>
      <c r="CE304" s="296">
        <v>5520</v>
      </c>
      <c r="CF304" s="261">
        <v>827480</v>
      </c>
      <c r="CG304" s="261">
        <v>630194</v>
      </c>
      <c r="CH304" s="202">
        <v>31</v>
      </c>
      <c r="CI304" s="261">
        <f t="shared" si="122"/>
        <v>254.37342899264078</v>
      </c>
      <c r="CJ304" s="261">
        <f t="shared" si="123"/>
        <v>1404141.3280393772</v>
      </c>
      <c r="CL304">
        <v>38720</v>
      </c>
      <c r="CM304" s="299">
        <v>2019</v>
      </c>
      <c r="CN304" s="299">
        <v>2670</v>
      </c>
      <c r="CO304" s="300" t="s">
        <v>257</v>
      </c>
      <c r="CP304" s="299">
        <v>755</v>
      </c>
      <c r="CQ304" s="299">
        <v>19</v>
      </c>
      <c r="CR304" s="294" t="s">
        <v>385</v>
      </c>
      <c r="CS304" s="294" t="s">
        <v>386</v>
      </c>
      <c r="CT304" s="294" t="s">
        <v>391</v>
      </c>
      <c r="CU304" s="301">
        <v>43793000</v>
      </c>
      <c r="DB304">
        <f t="shared" si="124"/>
        <v>37</v>
      </c>
      <c r="DC304" s="595" t="s">
        <v>883</v>
      </c>
      <c r="DD304" s="595" t="s">
        <v>884</v>
      </c>
      <c r="DE304" s="595" t="s">
        <v>694</v>
      </c>
      <c r="DF304" s="286">
        <v>5022</v>
      </c>
      <c r="DG304" s="286">
        <v>115620</v>
      </c>
      <c r="DH304" s="286">
        <v>11588679</v>
      </c>
      <c r="DI304" s="286">
        <v>7376680</v>
      </c>
      <c r="DJ304">
        <v>36</v>
      </c>
      <c r="DK304" s="643">
        <f t="shared" si="125"/>
        <v>7463.6077432689826</v>
      </c>
      <c r="DL304" s="408">
        <f t="shared" si="126"/>
        <v>862942327.27675974</v>
      </c>
      <c r="DM304" s="286"/>
      <c r="DN304" s="286"/>
      <c r="FL304" s="286">
        <f>SUM(FL299:FL303)</f>
        <v>96774</v>
      </c>
      <c r="FM304" s="286">
        <f>SUM(FM299:FM303)</f>
        <v>8593314</v>
      </c>
      <c r="FN304" s="286"/>
      <c r="FO304" s="286"/>
      <c r="FQ304" s="939">
        <f>FR304/FM304</f>
        <v>598.21526613519393</v>
      </c>
      <c r="FR304" s="408">
        <f>SUM(FR299:FR303)</f>
        <v>5140651621.493288</v>
      </c>
      <c r="FT304" s="927">
        <f>-1*(PMT($EA$23,$EA$24,FQ304,$EA$25*FQ304)/(365*24))</f>
        <v>7.749482694180572E-2</v>
      </c>
      <c r="FU304" s="790">
        <f>FT304*FV304</f>
        <v>6.8813667026949004</v>
      </c>
      <c r="FV304" s="788">
        <f>FM304/FL304</f>
        <v>88.797755595511191</v>
      </c>
    </row>
    <row r="305" spans="76:178">
      <c r="BX305" s="623"/>
      <c r="BY305" t="s">
        <v>1419</v>
      </c>
      <c r="BZ305" t="s">
        <v>1420</v>
      </c>
      <c r="CA305">
        <v>1</v>
      </c>
      <c r="CB305">
        <v>1</v>
      </c>
      <c r="CC305" t="s">
        <v>700</v>
      </c>
      <c r="CD305" s="286">
        <v>9680</v>
      </c>
      <c r="CE305" s="296">
        <v>101920</v>
      </c>
      <c r="CF305" s="261">
        <v>10129265</v>
      </c>
      <c r="CG305" s="261">
        <v>7465923</v>
      </c>
      <c r="CH305" s="202">
        <v>31</v>
      </c>
      <c r="CI305" s="261">
        <f t="shared" si="122"/>
        <v>254.37342899264078</v>
      </c>
      <c r="CJ305" s="261">
        <f t="shared" si="123"/>
        <v>25925739.882929947</v>
      </c>
      <c r="CL305">
        <v>29440</v>
      </c>
      <c r="CM305" s="299">
        <v>2019</v>
      </c>
      <c r="CN305" s="299">
        <v>2670</v>
      </c>
      <c r="CO305" s="300" t="s">
        <v>257</v>
      </c>
      <c r="CP305" s="299">
        <v>755</v>
      </c>
      <c r="CQ305" s="299">
        <v>20</v>
      </c>
      <c r="CR305" s="294" t="s">
        <v>385</v>
      </c>
      <c r="CS305" s="294" t="s">
        <v>386</v>
      </c>
      <c r="CT305" s="294" t="s">
        <v>392</v>
      </c>
      <c r="CU305" s="301">
        <v>90542000</v>
      </c>
      <c r="DB305">
        <f t="shared" si="124"/>
        <v>37</v>
      </c>
      <c r="DC305" s="595" t="s">
        <v>883</v>
      </c>
      <c r="DD305" s="595" t="s">
        <v>884</v>
      </c>
      <c r="DE305" s="595" t="s">
        <v>688</v>
      </c>
      <c r="DF305" s="286">
        <v>7628</v>
      </c>
      <c r="DG305" s="286">
        <v>201096</v>
      </c>
      <c r="DH305" s="286">
        <v>16460716</v>
      </c>
      <c r="DI305" s="286">
        <v>8167546</v>
      </c>
      <c r="DJ305">
        <v>36</v>
      </c>
      <c r="DK305" s="643">
        <f t="shared" si="125"/>
        <v>7463.6077432689826</v>
      </c>
      <c r="DL305" s="408">
        <f t="shared" si="126"/>
        <v>1500901662.7404194</v>
      </c>
      <c r="DM305" s="286"/>
      <c r="DN305" s="286"/>
      <c r="FL305" s="286"/>
      <c r="FM305" s="286"/>
      <c r="FN305" s="286"/>
      <c r="FO305" s="286"/>
      <c r="FQ305" s="925"/>
      <c r="FR305" s="926"/>
    </row>
    <row r="306" spans="76:178">
      <c r="BX306" s="623"/>
      <c r="BY306" t="s">
        <v>1421</v>
      </c>
      <c r="BZ306" t="s">
        <v>1422</v>
      </c>
      <c r="CA306">
        <v>1</v>
      </c>
      <c r="CB306">
        <v>1</v>
      </c>
      <c r="CC306" t="s">
        <v>700</v>
      </c>
      <c r="CD306" s="286">
        <v>1200</v>
      </c>
      <c r="CE306" s="296">
        <v>13160</v>
      </c>
      <c r="CF306" s="261">
        <v>1332600</v>
      </c>
      <c r="CG306" s="261">
        <v>890347</v>
      </c>
      <c r="CH306" s="202">
        <v>31</v>
      </c>
      <c r="CI306" s="261">
        <f t="shared" si="122"/>
        <v>254.37342899264078</v>
      </c>
      <c r="CJ306" s="261">
        <f t="shared" si="123"/>
        <v>3347554.3255431526</v>
      </c>
      <c r="CL306">
        <v>25520</v>
      </c>
      <c r="CM306" s="299">
        <v>2019</v>
      </c>
      <c r="CN306" s="299">
        <v>2670</v>
      </c>
      <c r="CO306" s="300" t="s">
        <v>257</v>
      </c>
      <c r="CP306" s="299">
        <v>755</v>
      </c>
      <c r="CQ306" s="299">
        <v>21</v>
      </c>
      <c r="CR306" s="294" t="s">
        <v>385</v>
      </c>
      <c r="CS306" s="294" t="s">
        <v>386</v>
      </c>
      <c r="CT306" s="294" t="s">
        <v>393</v>
      </c>
      <c r="CU306" s="301">
        <v>30135000</v>
      </c>
      <c r="DB306">
        <f t="shared" si="124"/>
        <v>37</v>
      </c>
      <c r="DC306" s="595" t="s">
        <v>883</v>
      </c>
      <c r="DD306" s="595" t="s">
        <v>884</v>
      </c>
      <c r="DE306" s="595" t="s">
        <v>691</v>
      </c>
      <c r="DF306" s="286">
        <v>5514</v>
      </c>
      <c r="DG306" s="286">
        <v>142591.99999999997</v>
      </c>
      <c r="DH306" s="286">
        <v>8942708</v>
      </c>
      <c r="DI306" s="286">
        <v>4534123</v>
      </c>
      <c r="DJ306">
        <v>36</v>
      </c>
      <c r="DK306" s="643">
        <f t="shared" si="125"/>
        <v>7463.6077432689826</v>
      </c>
      <c r="DL306" s="408">
        <f t="shared" si="126"/>
        <v>1064250755.3282106</v>
      </c>
      <c r="DM306" s="286"/>
      <c r="DN306" s="286"/>
      <c r="FH306">
        <v>37</v>
      </c>
      <c r="FI306" t="s">
        <v>883</v>
      </c>
      <c r="FJ306" t="s">
        <v>884</v>
      </c>
      <c r="FK306" t="s">
        <v>701</v>
      </c>
      <c r="FL306" s="286">
        <v>816</v>
      </c>
      <c r="FM306" s="286">
        <v>18080</v>
      </c>
      <c r="FN306" s="286">
        <v>1659052</v>
      </c>
      <c r="FO306" s="286">
        <v>625373</v>
      </c>
      <c r="FP306">
        <v>36</v>
      </c>
      <c r="FQ306" s="925">
        <v>7463.6077432689826</v>
      </c>
      <c r="FR306" s="926">
        <v>134942027.9983032</v>
      </c>
      <c r="FS306">
        <v>0</v>
      </c>
      <c r="FT306" s="927">
        <f>-1*(PMT($EA$23,$EA$24,FQ306,$EA$25*FQ306)/(365*24))</f>
        <v>0.96686096655954823</v>
      </c>
      <c r="FU306" s="790">
        <f>FT306*FV306</f>
        <v>21.422605729652734</v>
      </c>
      <c r="FV306" s="788">
        <f>FM306/FL306</f>
        <v>22.156862745098039</v>
      </c>
    </row>
    <row r="307" spans="76:178">
      <c r="BX307" s="623"/>
      <c r="BY307" t="s">
        <v>1423</v>
      </c>
      <c r="BZ307" t="s">
        <v>1424</v>
      </c>
      <c r="CA307">
        <v>1</v>
      </c>
      <c r="CB307">
        <v>1</v>
      </c>
      <c r="CC307" t="s">
        <v>700</v>
      </c>
      <c r="CD307" s="286">
        <v>280</v>
      </c>
      <c r="CE307" s="296">
        <v>2440</v>
      </c>
      <c r="CF307" s="261">
        <v>217920</v>
      </c>
      <c r="CG307" s="261">
        <v>172633</v>
      </c>
      <c r="CH307" s="202">
        <v>31</v>
      </c>
      <c r="CI307" s="261">
        <f t="shared" si="122"/>
        <v>254.37342899264078</v>
      </c>
      <c r="CJ307" s="261">
        <f t="shared" si="123"/>
        <v>620671.16674204345</v>
      </c>
      <c r="CL307">
        <v>51360</v>
      </c>
      <c r="CM307" s="299">
        <v>2019</v>
      </c>
      <c r="CN307" s="299">
        <v>2670</v>
      </c>
      <c r="CO307" s="300" t="s">
        <v>257</v>
      </c>
      <c r="CP307" s="299">
        <v>755</v>
      </c>
      <c r="CQ307" s="299">
        <v>22</v>
      </c>
      <c r="CR307" s="294" t="s">
        <v>385</v>
      </c>
      <c r="CS307" s="294" t="s">
        <v>386</v>
      </c>
      <c r="CT307" s="294" t="s">
        <v>394</v>
      </c>
      <c r="CU307" s="301">
        <v>33586000</v>
      </c>
      <c r="DB307">
        <f t="shared" si="124"/>
        <v>37</v>
      </c>
      <c r="DC307" s="595" t="s">
        <v>883</v>
      </c>
      <c r="DD307" s="595" t="s">
        <v>884</v>
      </c>
      <c r="DE307" s="595" t="s">
        <v>697</v>
      </c>
      <c r="DF307" s="286">
        <v>6970</v>
      </c>
      <c r="DG307" s="286">
        <v>172612</v>
      </c>
      <c r="DH307" s="286">
        <v>11884941</v>
      </c>
      <c r="DI307" s="286">
        <v>5183065.0000000009</v>
      </c>
      <c r="DJ307">
        <v>36</v>
      </c>
      <c r="DK307" s="643">
        <f t="shared" si="125"/>
        <v>7463.6077432689826</v>
      </c>
      <c r="DL307" s="408">
        <f t="shared" si="126"/>
        <v>1288308259.7811456</v>
      </c>
      <c r="DM307" s="286"/>
      <c r="DN307" s="286"/>
      <c r="FL307" s="286"/>
      <c r="FM307" s="286"/>
      <c r="FN307" s="286"/>
      <c r="FO307" s="286"/>
      <c r="FQ307" s="925"/>
      <c r="FR307" s="926"/>
    </row>
    <row r="308" spans="76:178">
      <c r="BX308" s="623"/>
      <c r="BY308" t="s">
        <v>999</v>
      </c>
      <c r="BZ308" t="s">
        <v>1000</v>
      </c>
      <c r="CA308">
        <v>1</v>
      </c>
      <c r="CB308">
        <v>1</v>
      </c>
      <c r="CC308" t="s">
        <v>700</v>
      </c>
      <c r="CD308" s="286">
        <v>2480</v>
      </c>
      <c r="CE308" s="296">
        <v>42640</v>
      </c>
      <c r="CF308" s="261">
        <v>1467774</v>
      </c>
      <c r="CG308" s="261">
        <v>1339584</v>
      </c>
      <c r="CH308" s="202">
        <v>31</v>
      </c>
      <c r="CI308" s="261">
        <f t="shared" si="122"/>
        <v>254.37342899264078</v>
      </c>
      <c r="CJ308" s="261">
        <f t="shared" si="123"/>
        <v>10846483.012246203</v>
      </c>
      <c r="CL308">
        <v>5520</v>
      </c>
      <c r="CM308" s="299">
        <v>2019</v>
      </c>
      <c r="CN308" s="299">
        <v>2670</v>
      </c>
      <c r="CO308" s="300" t="s">
        <v>257</v>
      </c>
      <c r="CP308" s="299">
        <v>755</v>
      </c>
      <c r="CQ308" s="299">
        <v>23</v>
      </c>
      <c r="CR308" s="294" t="s">
        <v>385</v>
      </c>
      <c r="CS308" s="294" t="s">
        <v>386</v>
      </c>
      <c r="CT308" s="294" t="s">
        <v>395</v>
      </c>
      <c r="CU308" s="301">
        <v>10361000</v>
      </c>
      <c r="DB308">
        <f t="shared" si="124"/>
        <v>37</v>
      </c>
      <c r="DC308" s="595" t="s">
        <v>883</v>
      </c>
      <c r="DD308" s="595" t="s">
        <v>884</v>
      </c>
      <c r="DE308" s="595" t="s">
        <v>698</v>
      </c>
      <c r="DF308" s="286">
        <v>12807</v>
      </c>
      <c r="DG308" s="286">
        <v>307384</v>
      </c>
      <c r="DH308" s="286">
        <v>21668966.999999996</v>
      </c>
      <c r="DI308" s="286">
        <v>8662930</v>
      </c>
      <c r="DJ308">
        <v>36</v>
      </c>
      <c r="DK308" s="643">
        <f t="shared" si="125"/>
        <v>7463.6077432689826</v>
      </c>
      <c r="DL308" s="408">
        <f t="shared" si="126"/>
        <v>2294193602.556993</v>
      </c>
      <c r="DM308" s="286"/>
      <c r="DN308" s="286"/>
      <c r="FH308">
        <v>37</v>
      </c>
      <c r="FI308" t="s">
        <v>883</v>
      </c>
      <c r="FJ308" t="s">
        <v>884</v>
      </c>
      <c r="FK308" t="s">
        <v>696</v>
      </c>
      <c r="FL308" s="286">
        <v>1748</v>
      </c>
      <c r="FM308" s="286">
        <v>46028</v>
      </c>
      <c r="FN308" s="286">
        <v>3646163.9999999995</v>
      </c>
      <c r="FO308" s="286">
        <v>1639722</v>
      </c>
      <c r="FP308">
        <v>36</v>
      </c>
      <c r="FQ308" s="925">
        <v>7463.6077432689826</v>
      </c>
      <c r="FR308" s="926">
        <v>343534937.20718473</v>
      </c>
      <c r="FS308">
        <v>0</v>
      </c>
      <c r="FT308" s="927">
        <f>-1*(PMT($EA$23,$EA$24,FQ308,$EA$25*FQ308)/(365*24))</f>
        <v>0.96686096655954823</v>
      </c>
      <c r="FU308" s="790">
        <f>FT308*FV308</f>
        <v>25.459197121740782</v>
      </c>
      <c r="FV308" s="788">
        <f>FM308/FL308</f>
        <v>26.331807780320368</v>
      </c>
    </row>
    <row r="309" spans="76:178">
      <c r="BX309" s="623"/>
      <c r="BY309" t="s">
        <v>1425</v>
      </c>
      <c r="BZ309" t="s">
        <v>1426</v>
      </c>
      <c r="CA309">
        <v>1</v>
      </c>
      <c r="CB309">
        <v>1</v>
      </c>
      <c r="CC309" t="s">
        <v>700</v>
      </c>
      <c r="CD309" s="286">
        <v>5400</v>
      </c>
      <c r="CE309" s="296">
        <v>91000</v>
      </c>
      <c r="CF309" s="261">
        <v>5041954</v>
      </c>
      <c r="CG309" s="261">
        <v>4599670</v>
      </c>
      <c r="CH309" s="202">
        <v>31</v>
      </c>
      <c r="CI309" s="261">
        <f t="shared" si="122"/>
        <v>254.37342899264078</v>
      </c>
      <c r="CJ309" s="261">
        <f t="shared" si="123"/>
        <v>23147982.038330313</v>
      </c>
      <c r="CL309">
        <v>101920</v>
      </c>
      <c r="CM309" s="299">
        <v>2019</v>
      </c>
      <c r="CN309" s="299">
        <v>2670</v>
      </c>
      <c r="CO309" s="300" t="s">
        <v>257</v>
      </c>
      <c r="CP309" s="299">
        <v>755</v>
      </c>
      <c r="CQ309" s="299">
        <v>24</v>
      </c>
      <c r="CR309" s="294" t="s">
        <v>385</v>
      </c>
      <c r="CS309" s="294" t="s">
        <v>386</v>
      </c>
      <c r="CT309" s="294" t="s">
        <v>396</v>
      </c>
      <c r="CU309" s="301">
        <v>2445000</v>
      </c>
      <c r="DB309">
        <f t="shared" si="124"/>
        <v>37</v>
      </c>
      <c r="DC309" s="595" t="s">
        <v>883</v>
      </c>
      <c r="DD309" s="595" t="s">
        <v>884</v>
      </c>
      <c r="DE309" s="595" t="s">
        <v>701</v>
      </c>
      <c r="DF309" s="286">
        <v>816</v>
      </c>
      <c r="DG309" s="286">
        <v>18080</v>
      </c>
      <c r="DH309" s="286">
        <v>1659052</v>
      </c>
      <c r="DI309" s="286">
        <v>625373</v>
      </c>
      <c r="DJ309">
        <v>36</v>
      </c>
      <c r="DK309" s="643">
        <f t="shared" si="125"/>
        <v>7463.6077432689826</v>
      </c>
      <c r="DL309" s="408">
        <f t="shared" si="126"/>
        <v>134942027.9983032</v>
      </c>
      <c r="DM309" s="286"/>
      <c r="DN309" s="286"/>
      <c r="FL309" s="286"/>
      <c r="FM309" s="286"/>
      <c r="FN309" s="286"/>
      <c r="FO309" s="286"/>
      <c r="FQ309" s="925"/>
      <c r="FR309" s="926"/>
    </row>
    <row r="310" spans="76:178">
      <c r="BX310" s="623"/>
      <c r="BY310" t="s">
        <v>1427</v>
      </c>
      <c r="BZ310" t="s">
        <v>1428</v>
      </c>
      <c r="CA310">
        <v>1</v>
      </c>
      <c r="CB310">
        <v>1</v>
      </c>
      <c r="CC310" t="s">
        <v>700</v>
      </c>
      <c r="CD310" s="286">
        <v>2320</v>
      </c>
      <c r="CE310" s="296">
        <v>37720</v>
      </c>
      <c r="CF310" s="261">
        <v>4703080</v>
      </c>
      <c r="CG310" s="261">
        <v>2210663</v>
      </c>
      <c r="CH310" s="202">
        <v>31</v>
      </c>
      <c r="CI310" s="261">
        <f t="shared" si="122"/>
        <v>254.37342899264078</v>
      </c>
      <c r="CJ310" s="261">
        <f t="shared" si="123"/>
        <v>9594965.7416024096</v>
      </c>
      <c r="CL310">
        <v>13160</v>
      </c>
      <c r="CM310" s="299">
        <v>2019</v>
      </c>
      <c r="CN310" s="299">
        <v>2670</v>
      </c>
      <c r="CO310" s="300" t="s">
        <v>257</v>
      </c>
      <c r="CP310" s="299">
        <v>755</v>
      </c>
      <c r="CQ310" s="299">
        <v>25</v>
      </c>
      <c r="CR310" s="294" t="s">
        <v>385</v>
      </c>
      <c r="CS310" s="294" t="s">
        <v>386</v>
      </c>
      <c r="CT310" s="294" t="s">
        <v>397</v>
      </c>
      <c r="CU310" s="301">
        <v>114665000</v>
      </c>
      <c r="DB310">
        <f t="shared" si="124"/>
        <v>37</v>
      </c>
      <c r="DC310" s="595" t="s">
        <v>883</v>
      </c>
      <c r="DD310" s="595" t="s">
        <v>884</v>
      </c>
      <c r="DE310" s="595" t="s">
        <v>696</v>
      </c>
      <c r="DF310" s="286">
        <v>1748</v>
      </c>
      <c r="DG310" s="286">
        <v>46028</v>
      </c>
      <c r="DH310" s="286">
        <v>3646163.9999999995</v>
      </c>
      <c r="DI310" s="286">
        <v>1639722</v>
      </c>
      <c r="DJ310">
        <v>36</v>
      </c>
      <c r="DK310" s="643">
        <f t="shared" si="125"/>
        <v>7463.6077432689826</v>
      </c>
      <c r="DL310" s="408">
        <f t="shared" si="126"/>
        <v>343534937.20718473</v>
      </c>
      <c r="DM310" s="286"/>
      <c r="DN310" s="286"/>
      <c r="FH310">
        <v>1</v>
      </c>
      <c r="FI310" t="s">
        <v>1083</v>
      </c>
      <c r="FJ310" t="s">
        <v>1084</v>
      </c>
      <c r="FK310" t="s">
        <v>692</v>
      </c>
      <c r="FL310" s="286">
        <v>1520</v>
      </c>
      <c r="FM310" s="286">
        <v>99240</v>
      </c>
      <c r="FN310" s="286">
        <v>17944280</v>
      </c>
      <c r="FO310" s="286">
        <v>11770502</v>
      </c>
      <c r="FP310">
        <v>3</v>
      </c>
      <c r="FQ310" s="925">
        <v>679.18710494589243</v>
      </c>
      <c r="FR310" s="926">
        <v>67402528.294830367</v>
      </c>
      <c r="FS310">
        <v>0</v>
      </c>
    </row>
    <row r="311" spans="76:178">
      <c r="BX311" s="623"/>
      <c r="BY311" t="s">
        <v>861</v>
      </c>
      <c r="BZ311" t="s">
        <v>862</v>
      </c>
      <c r="CA311">
        <v>1</v>
      </c>
      <c r="CB311">
        <v>1</v>
      </c>
      <c r="CC311" t="s">
        <v>700</v>
      </c>
      <c r="CD311" s="286">
        <v>280</v>
      </c>
      <c r="CE311" s="296">
        <v>2680</v>
      </c>
      <c r="CF311" s="261">
        <v>290692</v>
      </c>
      <c r="CG311" s="261">
        <v>193649</v>
      </c>
      <c r="CH311" s="202">
        <v>31</v>
      </c>
      <c r="CI311" s="261">
        <f t="shared" si="122"/>
        <v>254.37342899264078</v>
      </c>
      <c r="CJ311" s="261">
        <f t="shared" si="123"/>
        <v>681720.78970027727</v>
      </c>
      <c r="CL311">
        <v>2440</v>
      </c>
      <c r="CM311" s="299">
        <v>2019</v>
      </c>
      <c r="CN311" s="299">
        <v>2670</v>
      </c>
      <c r="CO311" s="300" t="s">
        <v>257</v>
      </c>
      <c r="CP311" s="299">
        <v>755</v>
      </c>
      <c r="CQ311" s="299">
        <v>26</v>
      </c>
      <c r="CR311" s="294" t="s">
        <v>385</v>
      </c>
      <c r="CS311" s="294" t="s">
        <v>386</v>
      </c>
      <c r="CT311" s="294" t="s">
        <v>398</v>
      </c>
      <c r="CU311" s="301">
        <v>47992000</v>
      </c>
      <c r="DB311">
        <f t="shared" si="124"/>
        <v>37</v>
      </c>
      <c r="DC311" s="595" t="s">
        <v>883</v>
      </c>
      <c r="DD311" s="595" t="s">
        <v>884</v>
      </c>
      <c r="DE311" s="595" t="s">
        <v>692</v>
      </c>
      <c r="DF311" s="286">
        <v>1312</v>
      </c>
      <c r="DG311" s="286">
        <v>34468</v>
      </c>
      <c r="DH311" s="286">
        <v>3119040</v>
      </c>
      <c r="DI311" s="286">
        <v>2218837</v>
      </c>
      <c r="DJ311">
        <v>36</v>
      </c>
      <c r="DK311" s="643">
        <f t="shared" si="125"/>
        <v>7463.6077432689826</v>
      </c>
      <c r="DL311" s="408">
        <f t="shared" si="126"/>
        <v>257255631.69499528</v>
      </c>
      <c r="DM311" s="286"/>
      <c r="DN311" s="286"/>
      <c r="FH311">
        <v>20</v>
      </c>
      <c r="FI311" t="s">
        <v>1085</v>
      </c>
      <c r="FJ311" t="s">
        <v>1086</v>
      </c>
      <c r="FK311" t="s">
        <v>692</v>
      </c>
      <c r="FL311" s="286">
        <v>23720</v>
      </c>
      <c r="FM311" s="286">
        <v>1541640</v>
      </c>
      <c r="FN311" s="286">
        <v>210342013</v>
      </c>
      <c r="FO311" s="286">
        <v>144858890</v>
      </c>
      <c r="FP311">
        <v>7</v>
      </c>
      <c r="FQ311" s="925">
        <v>1047.1475692534934</v>
      </c>
      <c r="FR311" s="926">
        <v>1614324578.6639557</v>
      </c>
      <c r="FS311">
        <v>0</v>
      </c>
    </row>
    <row r="312" spans="76:178">
      <c r="BX312" s="623"/>
      <c r="BY312" t="s">
        <v>867</v>
      </c>
      <c r="BZ312" t="s">
        <v>868</v>
      </c>
      <c r="CA312">
        <v>1</v>
      </c>
      <c r="CB312">
        <v>1</v>
      </c>
      <c r="CC312" t="s">
        <v>700</v>
      </c>
      <c r="CD312" s="286">
        <v>1680</v>
      </c>
      <c r="CE312" s="296">
        <v>24320</v>
      </c>
      <c r="CF312" s="261">
        <v>2291772</v>
      </c>
      <c r="CG312" s="261">
        <v>1320378</v>
      </c>
      <c r="CH312" s="202">
        <v>13</v>
      </c>
      <c r="CI312" s="261">
        <f t="shared" si="122"/>
        <v>106.2931379319991</v>
      </c>
      <c r="CJ312" s="261">
        <f t="shared" si="123"/>
        <v>2585049.1145062181</v>
      </c>
      <c r="CL312">
        <v>42640</v>
      </c>
      <c r="CM312" s="299">
        <v>2019</v>
      </c>
      <c r="CN312" s="299">
        <v>2670</v>
      </c>
      <c r="CO312" s="300" t="s">
        <v>257</v>
      </c>
      <c r="CP312" s="299">
        <v>755</v>
      </c>
      <c r="CQ312" s="299">
        <v>27</v>
      </c>
      <c r="CR312" s="294" t="s">
        <v>385</v>
      </c>
      <c r="CS312" s="294" t="s">
        <v>386</v>
      </c>
      <c r="CT312" s="294" t="s">
        <v>399</v>
      </c>
      <c r="CU312" s="301">
        <v>156000</v>
      </c>
      <c r="DB312">
        <f t="shared" si="124"/>
        <v>37</v>
      </c>
      <c r="DC312" s="595" t="s">
        <v>883</v>
      </c>
      <c r="DD312" s="595" t="s">
        <v>884</v>
      </c>
      <c r="DE312" s="595" t="s">
        <v>695</v>
      </c>
      <c r="DF312" s="286">
        <v>170258</v>
      </c>
      <c r="DG312" s="286">
        <v>4308664</v>
      </c>
      <c r="DH312" s="286">
        <v>365937713</v>
      </c>
      <c r="DI312" s="286">
        <v>214278389.99999997</v>
      </c>
      <c r="DJ312">
        <v>36</v>
      </c>
      <c r="DK312" s="643">
        <f t="shared" si="125"/>
        <v>7463.6077432689826</v>
      </c>
      <c r="DL312" s="408">
        <f t="shared" si="126"/>
        <v>32158177993.544308</v>
      </c>
      <c r="DM312" s="286"/>
      <c r="DN312" s="286"/>
      <c r="FH312">
        <v>20</v>
      </c>
      <c r="FI312" t="s">
        <v>830</v>
      </c>
      <c r="FJ312" t="s">
        <v>831</v>
      </c>
      <c r="FK312" t="s">
        <v>692</v>
      </c>
      <c r="FL312" s="286">
        <v>14444</v>
      </c>
      <c r="FM312" s="286">
        <v>1106496</v>
      </c>
      <c r="FN312" s="286">
        <v>81790616</v>
      </c>
      <c r="FO312" s="286">
        <v>91626980</v>
      </c>
      <c r="FP312">
        <v>8</v>
      </c>
      <c r="FQ312" s="925">
        <v>1895.097258824158</v>
      </c>
      <c r="FR312" s="926">
        <v>2096917536.4998956</v>
      </c>
      <c r="FS312">
        <v>0</v>
      </c>
    </row>
    <row r="313" spans="76:178">
      <c r="BX313" s="623"/>
      <c r="BY313" t="s">
        <v>1009</v>
      </c>
      <c r="BZ313" t="s">
        <v>1010</v>
      </c>
      <c r="CA313">
        <v>1</v>
      </c>
      <c r="CB313">
        <v>1</v>
      </c>
      <c r="CC313" t="s">
        <v>700</v>
      </c>
      <c r="CD313" s="286">
        <v>760</v>
      </c>
      <c r="CE313" s="296">
        <v>13520</v>
      </c>
      <c r="CF313" s="261">
        <v>1390750</v>
      </c>
      <c r="CG313" s="261">
        <v>582617</v>
      </c>
      <c r="CH313" s="202">
        <v>13</v>
      </c>
      <c r="CI313" s="261">
        <f t="shared" si="122"/>
        <v>106.2931379319991</v>
      </c>
      <c r="CJ313" s="261">
        <f t="shared" si="123"/>
        <v>1437083.2248406278</v>
      </c>
      <c r="CL313">
        <v>91000</v>
      </c>
      <c r="CM313" s="299">
        <v>2019</v>
      </c>
      <c r="CN313" s="299">
        <v>2670</v>
      </c>
      <c r="CO313" s="300" t="s">
        <v>257</v>
      </c>
      <c r="CP313" s="299">
        <v>755</v>
      </c>
      <c r="CQ313" s="299">
        <v>28</v>
      </c>
      <c r="CR313" s="294" t="s">
        <v>385</v>
      </c>
      <c r="CS313" s="294" t="s">
        <v>386</v>
      </c>
      <c r="CT313" s="294" t="s">
        <v>400</v>
      </c>
      <c r="CU313" s="301">
        <v>35491000</v>
      </c>
      <c r="DB313">
        <f t="shared" si="124"/>
        <v>37</v>
      </c>
      <c r="DC313" s="595" t="s">
        <v>885</v>
      </c>
      <c r="DD313" s="595" t="s">
        <v>886</v>
      </c>
      <c r="DE313" s="595" t="s">
        <v>687</v>
      </c>
      <c r="DF313" s="286">
        <v>1120</v>
      </c>
      <c r="DG313" s="286">
        <v>86280</v>
      </c>
      <c r="DH313" s="286">
        <v>6515960</v>
      </c>
      <c r="DI313" s="286">
        <v>4757284</v>
      </c>
      <c r="DJ313">
        <v>36</v>
      </c>
      <c r="DK313" s="643">
        <f t="shared" si="125"/>
        <v>7463.6077432689826</v>
      </c>
      <c r="DL313" s="408">
        <f t="shared" si="126"/>
        <v>643960076.08924782</v>
      </c>
      <c r="DM313" s="286"/>
      <c r="DN313" s="286"/>
      <c r="FH313">
        <v>37</v>
      </c>
      <c r="FI313" t="s">
        <v>883</v>
      </c>
      <c r="FJ313" t="s">
        <v>884</v>
      </c>
      <c r="FK313" t="s">
        <v>692</v>
      </c>
      <c r="FL313" s="286">
        <v>1312</v>
      </c>
      <c r="FM313" s="286">
        <v>34468</v>
      </c>
      <c r="FN313" s="286">
        <v>3119040</v>
      </c>
      <c r="FO313" s="286">
        <v>2218837</v>
      </c>
      <c r="FP313">
        <v>36</v>
      </c>
      <c r="FQ313" s="925">
        <v>7463.6077432689826</v>
      </c>
      <c r="FR313" s="926">
        <v>257255631.69499528</v>
      </c>
      <c r="FS313">
        <v>0</v>
      </c>
    </row>
    <row r="314" spans="76:178">
      <c r="BX314" s="623"/>
      <c r="BY314" t="s">
        <v>869</v>
      </c>
      <c r="BZ314" t="s">
        <v>870</v>
      </c>
      <c r="CA314">
        <v>1</v>
      </c>
      <c r="CB314">
        <v>1</v>
      </c>
      <c r="CC314" t="s">
        <v>700</v>
      </c>
      <c r="CD314" s="286">
        <v>5720</v>
      </c>
      <c r="CE314" s="296">
        <v>114160</v>
      </c>
      <c r="CF314" s="261">
        <v>6681680</v>
      </c>
      <c r="CG314" s="261">
        <v>4629044</v>
      </c>
      <c r="CH314" s="202">
        <v>32</v>
      </c>
      <c r="CI314" s="261">
        <f t="shared" si="122"/>
        <v>1383.6810951873679</v>
      </c>
      <c r="CJ314" s="261">
        <f t="shared" si="123"/>
        <v>157961033.82658991</v>
      </c>
      <c r="CL314">
        <v>37720</v>
      </c>
      <c r="CM314" s="299">
        <v>2019</v>
      </c>
      <c r="CN314" s="299">
        <v>2670</v>
      </c>
      <c r="CO314" s="300" t="s">
        <v>257</v>
      </c>
      <c r="CP314" s="299">
        <v>755</v>
      </c>
      <c r="CQ314" s="299">
        <v>29</v>
      </c>
      <c r="CR314" s="294" t="s">
        <v>385</v>
      </c>
      <c r="CS314" s="294" t="s">
        <v>401</v>
      </c>
      <c r="CT314" s="294" t="s">
        <v>402</v>
      </c>
      <c r="CU314" s="301">
        <v>2346000</v>
      </c>
      <c r="DB314">
        <f t="shared" si="124"/>
        <v>40</v>
      </c>
      <c r="DC314" s="595" t="s">
        <v>1011</v>
      </c>
      <c r="DD314" s="595" t="s">
        <v>1012</v>
      </c>
      <c r="DE314" s="595" t="s">
        <v>690</v>
      </c>
      <c r="DF314" s="286">
        <v>21768</v>
      </c>
      <c r="DG314" s="286">
        <v>2404420</v>
      </c>
      <c r="DH314" s="286">
        <v>73928493</v>
      </c>
      <c r="DI314" s="286">
        <v>43996626.000000007</v>
      </c>
      <c r="DJ314">
        <v>41</v>
      </c>
      <c r="DK314" s="643">
        <f t="shared" si="125"/>
        <v>143.17663014662168</v>
      </c>
      <c r="DL314" s="408">
        <f t="shared" si="126"/>
        <v>344256753.05714011</v>
      </c>
      <c r="DM314" s="286"/>
      <c r="DN314" s="286"/>
      <c r="FL314" s="286">
        <f>SUM(FL310:FL313)</f>
        <v>40996</v>
      </c>
      <c r="FM314" s="286">
        <f>SUM(FM310:FM313)</f>
        <v>2781844</v>
      </c>
      <c r="FN314" s="286"/>
      <c r="FO314" s="286"/>
      <c r="FQ314" s="925">
        <f>FR314/FM314</f>
        <v>1450.800359457136</v>
      </c>
      <c r="FR314" s="408">
        <f>SUM(FR310:FR313)</f>
        <v>4035900275.153677</v>
      </c>
      <c r="FT314" s="927">
        <f>-1*(PMT($EA$23,$EA$24,FQ314,$EA$25*FQ314)/(365*24))</f>
        <v>0.18794158081186735</v>
      </c>
      <c r="FU314" s="790">
        <f>FT314*FV314</f>
        <v>12.753052954727492</v>
      </c>
      <c r="FV314" s="788">
        <f>FM314/FL314</f>
        <v>67.856473802322171</v>
      </c>
    </row>
    <row r="315" spans="76:178">
      <c r="BX315" s="623"/>
      <c r="BY315" t="s">
        <v>1028</v>
      </c>
      <c r="BZ315" t="s">
        <v>1029</v>
      </c>
      <c r="CA315">
        <v>1</v>
      </c>
      <c r="CB315">
        <v>1</v>
      </c>
      <c r="CC315" t="s">
        <v>700</v>
      </c>
      <c r="CD315" s="286">
        <v>2720</v>
      </c>
      <c r="CE315" s="296">
        <v>56120</v>
      </c>
      <c r="CF315" s="261">
        <v>5837917</v>
      </c>
      <c r="CG315" s="261">
        <v>2556872</v>
      </c>
      <c r="CH315" s="202">
        <v>32</v>
      </c>
      <c r="CI315" s="261">
        <f t="shared" si="122"/>
        <v>1383.6810951873679</v>
      </c>
      <c r="CJ315" s="261">
        <f t="shared" si="123"/>
        <v>77652183.061915085</v>
      </c>
      <c r="CL315">
        <v>2680</v>
      </c>
      <c r="CM315" s="299">
        <v>2019</v>
      </c>
      <c r="CN315" s="299">
        <v>2670</v>
      </c>
      <c r="CO315" s="300" t="s">
        <v>257</v>
      </c>
      <c r="CP315" s="299">
        <v>755</v>
      </c>
      <c r="CQ315" s="299">
        <v>30</v>
      </c>
      <c r="CR315" s="294" t="s">
        <v>385</v>
      </c>
      <c r="CS315" s="294" t="s">
        <v>401</v>
      </c>
      <c r="CT315" s="294" t="s">
        <v>403</v>
      </c>
      <c r="CU315" s="301">
        <v>718740000</v>
      </c>
      <c r="DB315">
        <f t="shared" si="124"/>
        <v>40</v>
      </c>
      <c r="DC315" s="595" t="s">
        <v>1034</v>
      </c>
      <c r="DD315" s="595" t="s">
        <v>1035</v>
      </c>
      <c r="DE315" s="595" t="s">
        <v>689</v>
      </c>
      <c r="DF315" s="286">
        <v>92548</v>
      </c>
      <c r="DG315" s="286">
        <v>8494444</v>
      </c>
      <c r="DH315" s="286">
        <v>256993118.00000003</v>
      </c>
      <c r="DI315" s="286">
        <v>167716434</v>
      </c>
      <c r="DJ315">
        <v>41</v>
      </c>
      <c r="DK315" s="643">
        <f t="shared" si="125"/>
        <v>143.17663014662168</v>
      </c>
      <c r="DL315" s="408">
        <f t="shared" si="126"/>
        <v>1216205866.8891897</v>
      </c>
      <c r="DM315" s="286"/>
      <c r="DN315" s="286"/>
      <c r="FL315" s="286"/>
      <c r="FM315" s="286"/>
      <c r="FN315" s="286"/>
      <c r="FO315" s="286"/>
      <c r="FQ315" s="925"/>
      <c r="FR315" s="926"/>
    </row>
    <row r="316" spans="76:178">
      <c r="BX316" s="623"/>
      <c r="BY316" t="s">
        <v>1429</v>
      </c>
      <c r="BZ316" t="s">
        <v>1430</v>
      </c>
      <c r="CA316">
        <v>1</v>
      </c>
      <c r="CB316">
        <v>1</v>
      </c>
      <c r="CC316" t="s">
        <v>700</v>
      </c>
      <c r="CD316" s="286">
        <v>1440</v>
      </c>
      <c r="CE316" s="296">
        <v>22360</v>
      </c>
      <c r="CF316" s="261">
        <v>1950486</v>
      </c>
      <c r="CG316" s="261">
        <v>955868</v>
      </c>
      <c r="CH316" s="202">
        <v>32</v>
      </c>
      <c r="CI316" s="261">
        <f t="shared" si="122"/>
        <v>1383.6810951873679</v>
      </c>
      <c r="CJ316" s="261">
        <f t="shared" si="123"/>
        <v>30939109.288389545</v>
      </c>
      <c r="CL316">
        <v>24320</v>
      </c>
      <c r="CM316" s="299">
        <v>2019</v>
      </c>
      <c r="CN316" s="299">
        <v>2670</v>
      </c>
      <c r="CO316" s="300" t="s">
        <v>257</v>
      </c>
      <c r="CP316" s="299">
        <v>755</v>
      </c>
      <c r="CQ316" s="299">
        <v>31</v>
      </c>
      <c r="CR316" s="294" t="s">
        <v>385</v>
      </c>
      <c r="CS316" s="294" t="s">
        <v>404</v>
      </c>
      <c r="CT316" s="294" t="s">
        <v>387</v>
      </c>
      <c r="CU316" s="301">
        <v>0</v>
      </c>
      <c r="DB316">
        <f t="shared" si="124"/>
        <v>40</v>
      </c>
      <c r="DC316" s="595" t="s">
        <v>1034</v>
      </c>
      <c r="DD316" s="595" t="s">
        <v>1035</v>
      </c>
      <c r="DE316" s="595" t="s">
        <v>688</v>
      </c>
      <c r="DF316" s="286">
        <v>90521</v>
      </c>
      <c r="DG316" s="286">
        <v>8264894</v>
      </c>
      <c r="DH316" s="286">
        <v>234391737.00000003</v>
      </c>
      <c r="DI316" s="286">
        <v>138110072</v>
      </c>
      <c r="DJ316">
        <v>41</v>
      </c>
      <c r="DK316" s="643">
        <f t="shared" si="125"/>
        <v>143.17663014662168</v>
      </c>
      <c r="DL316" s="408">
        <f t="shared" si="126"/>
        <v>1183339671.4390326</v>
      </c>
      <c r="DM316" s="286"/>
      <c r="DN316" s="286"/>
      <c r="FH316">
        <v>20</v>
      </c>
      <c r="FI316" t="s">
        <v>822</v>
      </c>
      <c r="FJ316" t="s">
        <v>823</v>
      </c>
      <c r="FK316" t="s">
        <v>695</v>
      </c>
      <c r="FL316" s="286">
        <v>6560</v>
      </c>
      <c r="FM316" s="286">
        <v>610560</v>
      </c>
      <c r="FN316" s="286">
        <v>24258023</v>
      </c>
      <c r="FO316" s="286">
        <v>12117539</v>
      </c>
      <c r="FP316">
        <v>4</v>
      </c>
      <c r="FQ316" s="925">
        <v>372.51982588160462</v>
      </c>
      <c r="FR316" s="926">
        <v>227445704.89027253</v>
      </c>
      <c r="FS316">
        <v>0</v>
      </c>
    </row>
    <row r="317" spans="76:178">
      <c r="BX317" s="623"/>
      <c r="BY317" t="s">
        <v>1431</v>
      </c>
      <c r="BZ317" t="s">
        <v>1432</v>
      </c>
      <c r="CA317">
        <v>1</v>
      </c>
      <c r="CB317">
        <v>1</v>
      </c>
      <c r="CC317" t="s">
        <v>700</v>
      </c>
      <c r="CD317" s="286">
        <v>480</v>
      </c>
      <c r="CE317" s="296">
        <v>2960</v>
      </c>
      <c r="CF317" s="261">
        <v>703320</v>
      </c>
      <c r="CG317" s="261">
        <v>314563</v>
      </c>
      <c r="CH317" s="202">
        <v>32</v>
      </c>
      <c r="CI317" s="261">
        <f t="shared" si="122"/>
        <v>1383.6810951873679</v>
      </c>
      <c r="CJ317" s="261">
        <f t="shared" si="123"/>
        <v>4095696.041754609</v>
      </c>
      <c r="CL317">
        <v>13520</v>
      </c>
      <c r="CM317" s="299">
        <v>2019</v>
      </c>
      <c r="CN317" s="299">
        <v>2670</v>
      </c>
      <c r="CO317" s="300" t="s">
        <v>257</v>
      </c>
      <c r="CP317" s="299">
        <v>755</v>
      </c>
      <c r="CQ317" s="299">
        <v>32</v>
      </c>
      <c r="CR317" s="294" t="s">
        <v>385</v>
      </c>
      <c r="CS317" s="294" t="s">
        <v>404</v>
      </c>
      <c r="CT317" s="294" t="s">
        <v>388</v>
      </c>
      <c r="CU317" s="301">
        <v>9744000</v>
      </c>
      <c r="DB317">
        <f t="shared" si="124"/>
        <v>40</v>
      </c>
      <c r="DC317" s="595" t="s">
        <v>1034</v>
      </c>
      <c r="DD317" s="595" t="s">
        <v>1035</v>
      </c>
      <c r="DE317" s="595" t="s">
        <v>697</v>
      </c>
      <c r="DF317" s="286">
        <v>54854</v>
      </c>
      <c r="DG317" s="286">
        <v>5060064</v>
      </c>
      <c r="DH317" s="286">
        <v>130610654</v>
      </c>
      <c r="DI317" s="286">
        <v>71665532</v>
      </c>
      <c r="DJ317">
        <v>41</v>
      </c>
      <c r="DK317" s="643">
        <f t="shared" si="125"/>
        <v>143.17663014662168</v>
      </c>
      <c r="DL317" s="408">
        <f t="shared" si="126"/>
        <v>724482911.84623504</v>
      </c>
      <c r="DM317" s="286"/>
      <c r="DN317" s="286"/>
      <c r="FH317">
        <v>20</v>
      </c>
      <c r="FI317" t="s">
        <v>1111</v>
      </c>
      <c r="FJ317" t="s">
        <v>1112</v>
      </c>
      <c r="FK317" t="s">
        <v>695</v>
      </c>
      <c r="FL317" s="286">
        <v>7102</v>
      </c>
      <c r="FM317" s="286">
        <v>666877</v>
      </c>
      <c r="FN317" s="286">
        <v>40652593</v>
      </c>
      <c r="FO317" s="286">
        <v>19257544</v>
      </c>
      <c r="FP317">
        <v>4</v>
      </c>
      <c r="FQ317" s="925">
        <v>372.51982588160462</v>
      </c>
      <c r="FR317" s="926">
        <v>248424903.92444685</v>
      </c>
      <c r="FS317">
        <v>0</v>
      </c>
    </row>
    <row r="318" spans="76:178">
      <c r="BX318" s="623"/>
      <c r="BY318" t="s">
        <v>1433</v>
      </c>
      <c r="BZ318" t="s">
        <v>1434</v>
      </c>
      <c r="CA318">
        <v>1</v>
      </c>
      <c r="CB318">
        <v>1</v>
      </c>
      <c r="CC318" t="s">
        <v>700</v>
      </c>
      <c r="CD318" s="286">
        <v>800</v>
      </c>
      <c r="CE318" s="296">
        <v>14480</v>
      </c>
      <c r="CF318" s="261">
        <v>835200</v>
      </c>
      <c r="CG318" s="261">
        <v>675218</v>
      </c>
      <c r="CH318" s="202">
        <v>33</v>
      </c>
      <c r="CI318" s="261">
        <f t="shared" si="122"/>
        <v>3091.5868848384584</v>
      </c>
      <c r="CJ318" s="261">
        <f t="shared" si="123"/>
        <v>44766178.092460878</v>
      </c>
      <c r="CL318">
        <v>114160</v>
      </c>
      <c r="CM318" s="299">
        <v>2019</v>
      </c>
      <c r="CN318" s="299">
        <v>2670</v>
      </c>
      <c r="CO318" s="300" t="s">
        <v>257</v>
      </c>
      <c r="CP318" s="299">
        <v>755</v>
      </c>
      <c r="CQ318" s="299">
        <v>33</v>
      </c>
      <c r="CR318" s="294" t="s">
        <v>385</v>
      </c>
      <c r="CS318" s="294" t="s">
        <v>404</v>
      </c>
      <c r="CT318" s="294" t="s">
        <v>389</v>
      </c>
      <c r="CU318" s="301">
        <v>101744000</v>
      </c>
      <c r="DB318">
        <f t="shared" si="124"/>
        <v>40</v>
      </c>
      <c r="DC318" s="595" t="s">
        <v>887</v>
      </c>
      <c r="DD318" s="595" t="s">
        <v>888</v>
      </c>
      <c r="DE318" s="595" t="s">
        <v>687</v>
      </c>
      <c r="DF318" s="286">
        <v>30980</v>
      </c>
      <c r="DG318" s="286">
        <v>1858156</v>
      </c>
      <c r="DH318" s="286">
        <v>95329406.999999985</v>
      </c>
      <c r="DI318" s="286">
        <v>71993691</v>
      </c>
      <c r="DJ318">
        <v>41</v>
      </c>
      <c r="DK318" s="643">
        <f t="shared" si="125"/>
        <v>143.17663014662168</v>
      </c>
      <c r="DL318" s="408">
        <f t="shared" si="126"/>
        <v>266044514.36672595</v>
      </c>
      <c r="DM318" s="286"/>
      <c r="DN318" s="286"/>
      <c r="FH318">
        <v>20</v>
      </c>
      <c r="FI318" t="s">
        <v>1093</v>
      </c>
      <c r="FJ318" t="s">
        <v>1094</v>
      </c>
      <c r="FK318" t="s">
        <v>695</v>
      </c>
      <c r="FL318" s="286">
        <v>1120</v>
      </c>
      <c r="FM318" s="286">
        <v>93080</v>
      </c>
      <c r="FN318" s="286">
        <v>5252139.9999999991</v>
      </c>
      <c r="FO318" s="286">
        <v>2765123</v>
      </c>
      <c r="FP318">
        <v>5</v>
      </c>
      <c r="FQ318" s="925">
        <v>3558.1300539715367</v>
      </c>
      <c r="FR318" s="926">
        <v>331190745.42367065</v>
      </c>
      <c r="FS318">
        <v>0</v>
      </c>
    </row>
    <row r="319" spans="76:178">
      <c r="BX319" s="623"/>
      <c r="BY319" t="s">
        <v>1435</v>
      </c>
      <c r="BZ319" t="s">
        <v>1436</v>
      </c>
      <c r="CA319">
        <v>1</v>
      </c>
      <c r="CB319">
        <v>1</v>
      </c>
      <c r="CC319" t="s">
        <v>700</v>
      </c>
      <c r="CD319" s="286">
        <v>4680</v>
      </c>
      <c r="CE319" s="296">
        <v>55080</v>
      </c>
      <c r="CF319" s="261">
        <v>5648030</v>
      </c>
      <c r="CG319" s="261">
        <v>3245284</v>
      </c>
      <c r="CH319" s="202">
        <v>33</v>
      </c>
      <c r="CI319" s="261">
        <f t="shared" si="122"/>
        <v>3091.5868848384584</v>
      </c>
      <c r="CJ319" s="261">
        <f t="shared" si="123"/>
        <v>170284605.61690229</v>
      </c>
      <c r="CL319">
        <v>56120</v>
      </c>
      <c r="CM319" s="299">
        <v>2019</v>
      </c>
      <c r="CN319" s="299">
        <v>2670</v>
      </c>
      <c r="CO319" s="300" t="s">
        <v>257</v>
      </c>
      <c r="CP319" s="299">
        <v>755</v>
      </c>
      <c r="CQ319" s="299">
        <v>34</v>
      </c>
      <c r="CR319" s="294" t="s">
        <v>385</v>
      </c>
      <c r="CS319" s="294" t="s">
        <v>404</v>
      </c>
      <c r="CT319" s="294" t="s">
        <v>390</v>
      </c>
      <c r="CU319" s="301">
        <v>173685000</v>
      </c>
      <c r="DB319">
        <f t="shared" si="124"/>
        <v>40</v>
      </c>
      <c r="DC319" s="595" t="s">
        <v>887</v>
      </c>
      <c r="DD319" s="595" t="s">
        <v>888</v>
      </c>
      <c r="DE319" s="595" t="s">
        <v>686</v>
      </c>
      <c r="DF319" s="286">
        <v>4960</v>
      </c>
      <c r="DG319" s="286">
        <v>282360</v>
      </c>
      <c r="DH319" s="286">
        <v>15383718</v>
      </c>
      <c r="DI319" s="286">
        <v>11766978</v>
      </c>
      <c r="DJ319">
        <v>41</v>
      </c>
      <c r="DK319" s="643">
        <f t="shared" si="125"/>
        <v>143.17663014662168</v>
      </c>
      <c r="DL319" s="408">
        <f t="shared" si="126"/>
        <v>40427353.288200095</v>
      </c>
      <c r="DM319" s="286"/>
      <c r="DN319" s="286"/>
      <c r="FH319">
        <v>20</v>
      </c>
      <c r="FI319" t="s">
        <v>1095</v>
      </c>
      <c r="FJ319" t="s">
        <v>1096</v>
      </c>
      <c r="FK319" t="s">
        <v>695</v>
      </c>
      <c r="FL319" s="286">
        <v>13016</v>
      </c>
      <c r="FM319" s="286">
        <v>1170912</v>
      </c>
      <c r="FN319" s="286">
        <v>49816217.000000007</v>
      </c>
      <c r="FO319" s="286">
        <v>27378832.000000004</v>
      </c>
      <c r="FP319">
        <v>7</v>
      </c>
      <c r="FQ319" s="925">
        <v>1047.1475692534934</v>
      </c>
      <c r="FR319" s="926">
        <v>1226117654.6097465</v>
      </c>
      <c r="FS319">
        <v>0</v>
      </c>
    </row>
    <row r="320" spans="76:178">
      <c r="BX320" s="623"/>
      <c r="BY320" t="s">
        <v>1437</v>
      </c>
      <c r="BZ320" t="s">
        <v>1438</v>
      </c>
      <c r="CA320">
        <v>1</v>
      </c>
      <c r="CB320">
        <v>1</v>
      </c>
      <c r="CC320" t="s">
        <v>700</v>
      </c>
      <c r="CD320" s="286">
        <v>6680</v>
      </c>
      <c r="CE320" s="296">
        <v>73280</v>
      </c>
      <c r="CF320" s="261">
        <v>7154636</v>
      </c>
      <c r="CG320" s="261">
        <v>4387567</v>
      </c>
      <c r="CH320" s="202">
        <v>33</v>
      </c>
      <c r="CI320" s="261">
        <f t="shared" si="122"/>
        <v>3091.5868848384584</v>
      </c>
      <c r="CJ320" s="261">
        <f t="shared" si="123"/>
        <v>226551486.92096224</v>
      </c>
      <c r="CL320">
        <v>22360</v>
      </c>
      <c r="CM320" s="299">
        <v>2019</v>
      </c>
      <c r="CN320" s="299">
        <v>2670</v>
      </c>
      <c r="CO320" s="300" t="s">
        <v>257</v>
      </c>
      <c r="CP320" s="299">
        <v>755</v>
      </c>
      <c r="CQ320" s="299">
        <v>35</v>
      </c>
      <c r="CR320" s="294" t="s">
        <v>385</v>
      </c>
      <c r="CS320" s="294" t="s">
        <v>404</v>
      </c>
      <c r="CT320" s="294" t="s">
        <v>391</v>
      </c>
      <c r="CU320" s="301">
        <v>42998000</v>
      </c>
      <c r="DB320">
        <f t="shared" si="124"/>
        <v>40</v>
      </c>
      <c r="DC320" s="595" t="s">
        <v>1198</v>
      </c>
      <c r="DD320" s="595" t="s">
        <v>1199</v>
      </c>
      <c r="DE320" s="595" t="s">
        <v>695</v>
      </c>
      <c r="DF320" s="286">
        <v>12320</v>
      </c>
      <c r="DG320" s="286">
        <v>1115520</v>
      </c>
      <c r="DH320" s="286">
        <v>49976836</v>
      </c>
      <c r="DI320" s="286">
        <v>23954870</v>
      </c>
      <c r="DJ320">
        <v>41</v>
      </c>
      <c r="DK320" s="643">
        <f t="shared" si="125"/>
        <v>143.17663014662168</v>
      </c>
      <c r="DL320" s="408">
        <f t="shared" si="126"/>
        <v>159716394.46115941</v>
      </c>
      <c r="DM320" s="286"/>
      <c r="DN320" s="286"/>
      <c r="FH320">
        <v>20</v>
      </c>
      <c r="FI320" t="s">
        <v>1097</v>
      </c>
      <c r="FJ320" t="s">
        <v>1098</v>
      </c>
      <c r="FK320" t="s">
        <v>695</v>
      </c>
      <c r="FL320" s="286">
        <v>31520</v>
      </c>
      <c r="FM320" s="286">
        <v>2926880</v>
      </c>
      <c r="FN320" s="286">
        <v>107632517</v>
      </c>
      <c r="FO320" s="286">
        <v>73684701</v>
      </c>
      <c r="FP320">
        <v>7</v>
      </c>
      <c r="FQ320" s="925">
        <v>1047.1475692534934</v>
      </c>
      <c r="FR320" s="926">
        <v>3064875277.496665</v>
      </c>
      <c r="FS320">
        <v>0</v>
      </c>
    </row>
    <row r="321" spans="76:175">
      <c r="BX321" s="623"/>
      <c r="BY321" t="s">
        <v>1439</v>
      </c>
      <c r="BZ321" t="s">
        <v>1440</v>
      </c>
      <c r="CA321">
        <v>1</v>
      </c>
      <c r="CB321">
        <v>1</v>
      </c>
      <c r="CC321" t="s">
        <v>700</v>
      </c>
      <c r="CD321" s="286">
        <v>360</v>
      </c>
      <c r="CE321" s="296">
        <v>4440</v>
      </c>
      <c r="CF321" s="261">
        <v>588657</v>
      </c>
      <c r="CG321" s="261">
        <v>237975</v>
      </c>
      <c r="CH321" s="202">
        <v>33</v>
      </c>
      <c r="CI321" s="261">
        <f t="shared" si="122"/>
        <v>3091.5868848384584</v>
      </c>
      <c r="CJ321" s="261">
        <f t="shared" si="123"/>
        <v>13726645.768682756</v>
      </c>
      <c r="CL321">
        <v>2960</v>
      </c>
      <c r="CM321" s="299">
        <v>2019</v>
      </c>
      <c r="CN321" s="299">
        <v>2670</v>
      </c>
      <c r="CO321" s="300" t="s">
        <v>257</v>
      </c>
      <c r="CP321" s="299">
        <v>755</v>
      </c>
      <c r="CQ321" s="299">
        <v>36</v>
      </c>
      <c r="CR321" s="294" t="s">
        <v>385</v>
      </c>
      <c r="CS321" s="294" t="s">
        <v>404</v>
      </c>
      <c r="CT321" s="294" t="s">
        <v>392</v>
      </c>
      <c r="CU321" s="301">
        <v>92830000</v>
      </c>
      <c r="DB321">
        <f t="shared" si="124"/>
        <v>40</v>
      </c>
      <c r="DC321" s="595" t="s">
        <v>1036</v>
      </c>
      <c r="DD321" s="595" t="s">
        <v>1037</v>
      </c>
      <c r="DE321" s="595" t="s">
        <v>689</v>
      </c>
      <c r="DF321" s="286">
        <v>19700</v>
      </c>
      <c r="DG321" s="286">
        <v>1709932</v>
      </c>
      <c r="DH321" s="286">
        <v>58736488</v>
      </c>
      <c r="DI321" s="286">
        <v>33215659</v>
      </c>
      <c r="DJ321">
        <v>41</v>
      </c>
      <c r="DK321" s="643">
        <f t="shared" si="125"/>
        <v>143.17663014662168</v>
      </c>
      <c r="DL321" s="408">
        <f t="shared" si="126"/>
        <v>244822301.53987309</v>
      </c>
      <c r="DM321" s="286"/>
      <c r="DN321" s="286"/>
      <c r="FH321">
        <v>20</v>
      </c>
      <c r="FI321" t="s">
        <v>1099</v>
      </c>
      <c r="FJ321" t="s">
        <v>1100</v>
      </c>
      <c r="FK321" t="s">
        <v>695</v>
      </c>
      <c r="FL321" s="286">
        <v>127073</v>
      </c>
      <c r="FM321" s="286">
        <v>13153068</v>
      </c>
      <c r="FN321" s="286">
        <v>421180768.00000006</v>
      </c>
      <c r="FO321" s="286">
        <v>276155540.99999994</v>
      </c>
      <c r="FP321">
        <v>7</v>
      </c>
      <c r="FQ321" s="925">
        <v>1047.1475692534934</v>
      </c>
      <c r="FR321" s="926">
        <v>13773203184.425909</v>
      </c>
      <c r="FS321">
        <v>0</v>
      </c>
    </row>
    <row r="322" spans="76:175">
      <c r="BX322" s="623"/>
      <c r="BY322" t="s">
        <v>1441</v>
      </c>
      <c r="BZ322" t="s">
        <v>1442</v>
      </c>
      <c r="CA322">
        <v>1</v>
      </c>
      <c r="CB322">
        <v>1</v>
      </c>
      <c r="CC322" t="s">
        <v>700</v>
      </c>
      <c r="CD322" s="286">
        <v>1120</v>
      </c>
      <c r="CE322" s="296">
        <v>12960</v>
      </c>
      <c r="CF322" s="261">
        <v>1586230</v>
      </c>
      <c r="CG322" s="261">
        <v>835223</v>
      </c>
      <c r="CH322" s="202">
        <v>33</v>
      </c>
      <c r="CI322" s="261">
        <f t="shared" si="122"/>
        <v>3091.5868848384584</v>
      </c>
      <c r="CJ322" s="261">
        <f t="shared" si="123"/>
        <v>40066966.027506419</v>
      </c>
      <c r="CL322">
        <v>14480</v>
      </c>
      <c r="CM322" s="299">
        <v>2019</v>
      </c>
      <c r="CN322" s="299">
        <v>2670</v>
      </c>
      <c r="CO322" s="300" t="s">
        <v>257</v>
      </c>
      <c r="CP322" s="299">
        <v>755</v>
      </c>
      <c r="CQ322" s="299">
        <v>37</v>
      </c>
      <c r="CR322" s="294" t="s">
        <v>385</v>
      </c>
      <c r="CS322" s="294" t="s">
        <v>404</v>
      </c>
      <c r="CT322" s="294" t="s">
        <v>393</v>
      </c>
      <c r="CU322" s="301">
        <v>31118000</v>
      </c>
      <c r="DB322">
        <f t="shared" si="124"/>
        <v>40</v>
      </c>
      <c r="DC322" s="595" t="s">
        <v>1036</v>
      </c>
      <c r="DD322" s="595" t="s">
        <v>1037</v>
      </c>
      <c r="DE322" s="595" t="s">
        <v>688</v>
      </c>
      <c r="DF322" s="286">
        <v>17728</v>
      </c>
      <c r="DG322" s="286">
        <v>1733936.0000000002</v>
      </c>
      <c r="DH322" s="286">
        <v>53020780</v>
      </c>
      <c r="DI322" s="286">
        <v>31898432.999999996</v>
      </c>
      <c r="DJ322">
        <v>41</v>
      </c>
      <c r="DK322" s="643">
        <f t="shared" si="125"/>
        <v>143.17663014662168</v>
      </c>
      <c r="DL322" s="408">
        <f t="shared" si="126"/>
        <v>248259113.36991262</v>
      </c>
      <c r="DM322" s="286"/>
      <c r="DN322" s="286"/>
      <c r="FH322">
        <v>20</v>
      </c>
      <c r="FI322" t="s">
        <v>1101</v>
      </c>
      <c r="FJ322" t="s">
        <v>1102</v>
      </c>
      <c r="FK322" t="s">
        <v>695</v>
      </c>
      <c r="FL322" s="286">
        <v>21692</v>
      </c>
      <c r="FM322" s="286">
        <v>2088712</v>
      </c>
      <c r="FN322" s="286">
        <v>73154163</v>
      </c>
      <c r="FO322" s="286">
        <v>53051891</v>
      </c>
      <c r="FP322">
        <v>7</v>
      </c>
      <c r="FQ322" s="925">
        <v>1047.1475692534934</v>
      </c>
      <c r="FR322" s="926">
        <v>2187189693.6706028</v>
      </c>
      <c r="FS322">
        <v>0</v>
      </c>
    </row>
    <row r="323" spans="76:175">
      <c r="BX323" s="623"/>
      <c r="BY323" t="s">
        <v>1443</v>
      </c>
      <c r="BZ323" t="s">
        <v>1444</v>
      </c>
      <c r="CA323">
        <v>1</v>
      </c>
      <c r="CB323">
        <v>1</v>
      </c>
      <c r="CC323" t="s">
        <v>700</v>
      </c>
      <c r="CD323" s="286">
        <v>440</v>
      </c>
      <c r="CE323" s="296">
        <v>7320</v>
      </c>
      <c r="CF323" s="261">
        <v>546982</v>
      </c>
      <c r="CG323" s="261">
        <v>385264</v>
      </c>
      <c r="CH323" s="202">
        <v>33</v>
      </c>
      <c r="CI323" s="261">
        <f t="shared" ref="CI323:CI386" si="127">VLOOKUP($CH323,$DC$341:$DG$383,5)</f>
        <v>3091.5868848384584</v>
      </c>
      <c r="CJ323" s="261">
        <f t="shared" ref="CJ323:CJ386" si="128">CI323*CE323</f>
        <v>22630415.997017514</v>
      </c>
      <c r="CL323">
        <v>55080</v>
      </c>
      <c r="CM323" s="299">
        <v>2019</v>
      </c>
      <c r="CN323" s="299">
        <v>2670</v>
      </c>
      <c r="CO323" s="300" t="s">
        <v>257</v>
      </c>
      <c r="CP323" s="299">
        <v>755</v>
      </c>
      <c r="CQ323" s="299">
        <v>38</v>
      </c>
      <c r="CR323" s="294" t="s">
        <v>385</v>
      </c>
      <c r="CS323" s="294" t="s">
        <v>404</v>
      </c>
      <c r="CT323" s="294" t="s">
        <v>394</v>
      </c>
      <c r="CU323" s="301">
        <v>35177000</v>
      </c>
      <c r="DB323">
        <f t="shared" si="124"/>
        <v>40</v>
      </c>
      <c r="DC323" s="595" t="s">
        <v>1036</v>
      </c>
      <c r="DD323" s="595" t="s">
        <v>1037</v>
      </c>
      <c r="DE323" s="595" t="s">
        <v>697</v>
      </c>
      <c r="DF323" s="286">
        <v>15864</v>
      </c>
      <c r="DG323" s="286">
        <v>1490664</v>
      </c>
      <c r="DH323" s="286">
        <v>42699600.000000007</v>
      </c>
      <c r="DI323" s="286">
        <v>25308059</v>
      </c>
      <c r="DJ323">
        <v>41</v>
      </c>
      <c r="DK323" s="643">
        <f t="shared" si="125"/>
        <v>143.17663014662168</v>
      </c>
      <c r="DL323" s="408">
        <f t="shared" si="126"/>
        <v>213428248.20088366</v>
      </c>
      <c r="DM323" s="286"/>
      <c r="DN323" s="286"/>
      <c r="FH323">
        <v>20</v>
      </c>
      <c r="FI323" t="s">
        <v>1103</v>
      </c>
      <c r="FJ323" t="s">
        <v>1104</v>
      </c>
      <c r="FK323" t="s">
        <v>695</v>
      </c>
      <c r="FL323" s="286">
        <v>2740</v>
      </c>
      <c r="FM323" s="286">
        <v>247536</v>
      </c>
      <c r="FN323" s="286">
        <v>10391660</v>
      </c>
      <c r="FO323" s="286">
        <v>6567974</v>
      </c>
      <c r="FP323">
        <v>7</v>
      </c>
      <c r="FQ323" s="925">
        <v>1047.1475692534934</v>
      </c>
      <c r="FR323" s="926">
        <v>259206720.70273274</v>
      </c>
      <c r="FS323">
        <v>0</v>
      </c>
    </row>
    <row r="324" spans="76:175">
      <c r="BX324" s="623"/>
      <c r="BY324" t="s">
        <v>1445</v>
      </c>
      <c r="BZ324" t="s">
        <v>1446</v>
      </c>
      <c r="CA324">
        <v>1</v>
      </c>
      <c r="CB324">
        <v>1</v>
      </c>
      <c r="CC324" t="s">
        <v>700</v>
      </c>
      <c r="CD324" s="286">
        <v>1840</v>
      </c>
      <c r="CE324" s="296">
        <v>22520</v>
      </c>
      <c r="CF324" s="261">
        <v>1611212</v>
      </c>
      <c r="CG324" s="261">
        <v>1122892</v>
      </c>
      <c r="CH324" s="202">
        <v>33</v>
      </c>
      <c r="CI324" s="261">
        <f t="shared" si="127"/>
        <v>3091.5868848384584</v>
      </c>
      <c r="CJ324" s="261">
        <f t="shared" si="128"/>
        <v>69622536.646562085</v>
      </c>
      <c r="CL324">
        <v>73280</v>
      </c>
      <c r="CM324" s="299">
        <v>2019</v>
      </c>
      <c r="CN324" s="299">
        <v>2670</v>
      </c>
      <c r="CO324" s="300" t="s">
        <v>257</v>
      </c>
      <c r="CP324" s="299">
        <v>755</v>
      </c>
      <c r="CQ324" s="299">
        <v>39</v>
      </c>
      <c r="CR324" s="294" t="s">
        <v>385</v>
      </c>
      <c r="CS324" s="294" t="s">
        <v>404</v>
      </c>
      <c r="CT324" s="294" t="s">
        <v>395</v>
      </c>
      <c r="CU324" s="301">
        <v>10552000</v>
      </c>
      <c r="DB324">
        <f t="shared" si="124"/>
        <v>40</v>
      </c>
      <c r="DC324" s="595" t="s">
        <v>1036</v>
      </c>
      <c r="DD324" s="595" t="s">
        <v>1037</v>
      </c>
      <c r="DE324" s="595" t="s">
        <v>701</v>
      </c>
      <c r="DF324" s="286">
        <v>10072</v>
      </c>
      <c r="DG324" s="286">
        <v>1051212</v>
      </c>
      <c r="DH324" s="286">
        <v>22975108</v>
      </c>
      <c r="DI324" s="286">
        <v>15586631</v>
      </c>
      <c r="DJ324">
        <v>41</v>
      </c>
      <c r="DK324" s="643">
        <f t="shared" si="125"/>
        <v>143.17663014662168</v>
      </c>
      <c r="DL324" s="408">
        <f t="shared" si="126"/>
        <v>150508991.72969046</v>
      </c>
      <c r="DM324" s="286"/>
      <c r="DN324" s="286"/>
      <c r="FH324">
        <v>20</v>
      </c>
      <c r="FI324" t="s">
        <v>1105</v>
      </c>
      <c r="FJ324" t="s">
        <v>1106</v>
      </c>
      <c r="FK324" t="s">
        <v>695</v>
      </c>
      <c r="FL324" s="286">
        <v>3820</v>
      </c>
      <c r="FM324" s="286">
        <v>356440</v>
      </c>
      <c r="FN324" s="286">
        <v>12665772</v>
      </c>
      <c r="FO324" s="286">
        <v>6565309</v>
      </c>
      <c r="FP324">
        <v>7</v>
      </c>
      <c r="FQ324" s="925">
        <v>1047.1475692534934</v>
      </c>
      <c r="FR324" s="926">
        <v>373245279.58471519</v>
      </c>
      <c r="FS324">
        <v>0</v>
      </c>
    </row>
    <row r="325" spans="76:175">
      <c r="BX325" s="623"/>
      <c r="BY325" t="s">
        <v>1447</v>
      </c>
      <c r="BZ325" t="s">
        <v>1448</v>
      </c>
      <c r="CA325">
        <v>1</v>
      </c>
      <c r="CB325">
        <v>1</v>
      </c>
      <c r="CC325" t="s">
        <v>700</v>
      </c>
      <c r="CD325" s="286">
        <v>640</v>
      </c>
      <c r="CE325" s="296">
        <v>10360</v>
      </c>
      <c r="CF325" s="261">
        <v>655120</v>
      </c>
      <c r="CG325" s="261">
        <v>475159</v>
      </c>
      <c r="CH325" s="202">
        <v>33</v>
      </c>
      <c r="CI325" s="261">
        <f t="shared" si="127"/>
        <v>3091.5868848384584</v>
      </c>
      <c r="CJ325" s="261">
        <f t="shared" si="128"/>
        <v>32028840.12692643</v>
      </c>
      <c r="CL325">
        <v>4440</v>
      </c>
      <c r="CM325" s="299">
        <v>2019</v>
      </c>
      <c r="CN325" s="299">
        <v>2670</v>
      </c>
      <c r="CO325" s="300" t="s">
        <v>257</v>
      </c>
      <c r="CP325" s="299">
        <v>755</v>
      </c>
      <c r="CQ325" s="299">
        <v>40</v>
      </c>
      <c r="CR325" s="294" t="s">
        <v>385</v>
      </c>
      <c r="CS325" s="294" t="s">
        <v>404</v>
      </c>
      <c r="CT325" s="294" t="s">
        <v>396</v>
      </c>
      <c r="CU325" s="301">
        <v>2439000</v>
      </c>
      <c r="DB325">
        <f t="shared" si="124"/>
        <v>41</v>
      </c>
      <c r="DC325" s="595" t="s">
        <v>1073</v>
      </c>
      <c r="DD325" s="595" t="s">
        <v>1074</v>
      </c>
      <c r="DE325" s="595" t="s">
        <v>694</v>
      </c>
      <c r="DF325" s="286">
        <v>8596</v>
      </c>
      <c r="DG325" s="286">
        <v>287726</v>
      </c>
      <c r="DH325" s="286">
        <v>79077880</v>
      </c>
      <c r="DI325" s="286">
        <v>23656922</v>
      </c>
      <c r="DJ325">
        <v>36</v>
      </c>
      <c r="DK325" s="643">
        <f t="shared" si="125"/>
        <v>7463.6077432689826</v>
      </c>
      <c r="DL325" s="408">
        <f t="shared" si="126"/>
        <v>2147474001.5398114</v>
      </c>
      <c r="DM325" s="286"/>
      <c r="DN325" s="286"/>
      <c r="FH325">
        <v>20</v>
      </c>
      <c r="FI325" t="s">
        <v>1107</v>
      </c>
      <c r="FJ325" t="s">
        <v>1108</v>
      </c>
      <c r="FK325" t="s">
        <v>695</v>
      </c>
      <c r="FL325" s="286">
        <v>12360</v>
      </c>
      <c r="FM325" s="286">
        <v>1209144</v>
      </c>
      <c r="FN325" s="286">
        <v>49968004</v>
      </c>
      <c r="FO325" s="286">
        <v>32686350</v>
      </c>
      <c r="FP325">
        <v>7</v>
      </c>
      <c r="FQ325" s="925">
        <v>1047.1475692534934</v>
      </c>
      <c r="FR325" s="926">
        <v>1266152200.4774461</v>
      </c>
      <c r="FS325">
        <v>0</v>
      </c>
    </row>
    <row r="326" spans="76:175">
      <c r="BX326" s="623"/>
      <c r="BY326" t="s">
        <v>1449</v>
      </c>
      <c r="BZ326" t="s">
        <v>1450</v>
      </c>
      <c r="CA326">
        <v>1</v>
      </c>
      <c r="CB326">
        <v>1</v>
      </c>
      <c r="CC326" t="s">
        <v>700</v>
      </c>
      <c r="CD326" s="286">
        <v>560</v>
      </c>
      <c r="CE326" s="296">
        <v>8960</v>
      </c>
      <c r="CF326" s="261">
        <v>588280</v>
      </c>
      <c r="CG326" s="261">
        <v>461963</v>
      </c>
      <c r="CH326" s="202">
        <v>33</v>
      </c>
      <c r="CI326" s="261">
        <f t="shared" si="127"/>
        <v>3091.5868848384584</v>
      </c>
      <c r="CJ326" s="261">
        <f t="shared" si="128"/>
        <v>27700618.488152586</v>
      </c>
      <c r="CL326">
        <v>12960</v>
      </c>
      <c r="CM326" s="299">
        <v>2019</v>
      </c>
      <c r="CN326" s="299">
        <v>2670</v>
      </c>
      <c r="CO326" s="300" t="s">
        <v>257</v>
      </c>
      <c r="CP326" s="299">
        <v>755</v>
      </c>
      <c r="CQ326" s="299">
        <v>41</v>
      </c>
      <c r="CR326" s="294" t="s">
        <v>385</v>
      </c>
      <c r="CS326" s="294" t="s">
        <v>404</v>
      </c>
      <c r="CT326" s="294" t="s">
        <v>397</v>
      </c>
      <c r="CU326" s="301">
        <v>10692000</v>
      </c>
      <c r="DB326">
        <f t="shared" si="124"/>
        <v>41</v>
      </c>
      <c r="DC326" s="595" t="s">
        <v>1206</v>
      </c>
      <c r="DD326" s="595" t="s">
        <v>1207</v>
      </c>
      <c r="DE326" s="595" t="s">
        <v>693</v>
      </c>
      <c r="DF326" s="286">
        <v>4160</v>
      </c>
      <c r="DG326" s="286">
        <v>82520</v>
      </c>
      <c r="DH326" s="286">
        <v>20096840</v>
      </c>
      <c r="DI326" s="286">
        <v>10444730</v>
      </c>
      <c r="DJ326">
        <v>36</v>
      </c>
      <c r="DK326" s="643">
        <f t="shared" si="125"/>
        <v>7463.6077432689826</v>
      </c>
      <c r="DL326" s="408">
        <f t="shared" si="126"/>
        <v>615896910.97455645</v>
      </c>
      <c r="DM326" s="286"/>
      <c r="DN326" s="286"/>
      <c r="FH326">
        <v>20</v>
      </c>
      <c r="FI326" t="s">
        <v>1109</v>
      </c>
      <c r="FJ326" t="s">
        <v>1110</v>
      </c>
      <c r="FK326" t="s">
        <v>695</v>
      </c>
      <c r="FL326" s="286">
        <v>4040</v>
      </c>
      <c r="FM326" s="286">
        <v>352600</v>
      </c>
      <c r="FN326" s="286">
        <v>17184040</v>
      </c>
      <c r="FO326" s="286">
        <v>9288315.9999999981</v>
      </c>
      <c r="FP326">
        <v>7</v>
      </c>
      <c r="FQ326" s="925">
        <v>1047.1475692534934</v>
      </c>
      <c r="FR326" s="926">
        <v>369224232.91878176</v>
      </c>
      <c r="FS326">
        <v>0</v>
      </c>
    </row>
    <row r="327" spans="76:175">
      <c r="BX327" s="623"/>
      <c r="BY327" t="s">
        <v>1451</v>
      </c>
      <c r="BZ327" t="s">
        <v>1452</v>
      </c>
      <c r="CA327">
        <v>1</v>
      </c>
      <c r="CB327">
        <v>1</v>
      </c>
      <c r="CC327" t="s">
        <v>700</v>
      </c>
      <c r="CD327" s="286">
        <v>400</v>
      </c>
      <c r="CE327" s="296">
        <v>1600</v>
      </c>
      <c r="CF327" s="261">
        <v>704966</v>
      </c>
      <c r="CG327" s="261">
        <v>190934</v>
      </c>
      <c r="CH327" s="202">
        <v>33</v>
      </c>
      <c r="CI327" s="261">
        <f t="shared" si="127"/>
        <v>3091.5868848384584</v>
      </c>
      <c r="CJ327" s="261">
        <f t="shared" si="128"/>
        <v>4946539.0157415336</v>
      </c>
      <c r="CL327">
        <v>7320</v>
      </c>
      <c r="CM327" s="299">
        <v>2019</v>
      </c>
      <c r="CN327" s="299">
        <v>2670</v>
      </c>
      <c r="CO327" s="300" t="s">
        <v>257</v>
      </c>
      <c r="CP327" s="299">
        <v>755</v>
      </c>
      <c r="CQ327" s="299">
        <v>42</v>
      </c>
      <c r="CR327" s="294" t="s">
        <v>385</v>
      </c>
      <c r="CS327" s="294" t="s">
        <v>404</v>
      </c>
      <c r="CT327" s="294" t="s">
        <v>398</v>
      </c>
      <c r="CU327" s="301">
        <v>28932000</v>
      </c>
      <c r="DB327">
        <f t="shared" si="124"/>
        <v>42</v>
      </c>
      <c r="DC327" s="595" t="s">
        <v>889</v>
      </c>
      <c r="DD327" s="595" t="s">
        <v>890</v>
      </c>
      <c r="DE327" s="595" t="s">
        <v>687</v>
      </c>
      <c r="DF327" s="286">
        <v>1680</v>
      </c>
      <c r="DG327" s="286">
        <v>72720</v>
      </c>
      <c r="DH327" s="286">
        <v>3152280</v>
      </c>
      <c r="DI327" s="286">
        <v>5741340</v>
      </c>
      <c r="DJ327">
        <v>33</v>
      </c>
      <c r="DK327" s="643">
        <f t="shared" si="125"/>
        <v>3091.5868848384584</v>
      </c>
      <c r="DL327" s="408">
        <f t="shared" si="126"/>
        <v>224820198.26545271</v>
      </c>
      <c r="DM327" s="286"/>
      <c r="DN327" s="286"/>
      <c r="FH327">
        <v>20</v>
      </c>
      <c r="FI327" t="s">
        <v>1113</v>
      </c>
      <c r="FJ327" t="s">
        <v>1114</v>
      </c>
      <c r="FK327" t="s">
        <v>695</v>
      </c>
      <c r="FL327" s="286">
        <v>2840</v>
      </c>
      <c r="FM327" s="286">
        <v>267000</v>
      </c>
      <c r="FN327" s="286">
        <v>13839880</v>
      </c>
      <c r="FO327" s="286">
        <v>7813766</v>
      </c>
      <c r="FP327">
        <v>7</v>
      </c>
      <c r="FQ327" s="925">
        <v>1047.1475692534934</v>
      </c>
      <c r="FR327" s="926">
        <v>279588400.99068272</v>
      </c>
      <c r="FS327">
        <v>0</v>
      </c>
    </row>
    <row r="328" spans="76:175">
      <c r="BX328" s="623"/>
      <c r="BY328" t="s">
        <v>1453</v>
      </c>
      <c r="BZ328" t="s">
        <v>1454</v>
      </c>
      <c r="CA328">
        <v>1</v>
      </c>
      <c r="CB328">
        <v>1</v>
      </c>
      <c r="CC328" t="s">
        <v>700</v>
      </c>
      <c r="CD328" s="286">
        <v>520</v>
      </c>
      <c r="CE328" s="296">
        <v>6720</v>
      </c>
      <c r="CF328" s="261">
        <v>901880</v>
      </c>
      <c r="CG328" s="261">
        <v>394643</v>
      </c>
      <c r="CH328" s="202">
        <v>33</v>
      </c>
      <c r="CI328" s="261">
        <f t="shared" si="127"/>
        <v>3091.5868848384584</v>
      </c>
      <c r="CJ328" s="261">
        <f t="shared" si="128"/>
        <v>20775463.866114441</v>
      </c>
      <c r="CL328">
        <v>22520</v>
      </c>
      <c r="CM328" s="299">
        <v>2019</v>
      </c>
      <c r="CN328" s="299">
        <v>2670</v>
      </c>
      <c r="CO328" s="300" t="s">
        <v>257</v>
      </c>
      <c r="CP328" s="299">
        <v>755</v>
      </c>
      <c r="CQ328" s="299">
        <v>43</v>
      </c>
      <c r="CR328" s="294" t="s">
        <v>385</v>
      </c>
      <c r="CS328" s="294" t="s">
        <v>404</v>
      </c>
      <c r="CT328" s="294" t="s">
        <v>399</v>
      </c>
      <c r="CU328" s="301">
        <v>172000</v>
      </c>
      <c r="DB328">
        <f t="shared" si="124"/>
        <v>42</v>
      </c>
      <c r="DC328" s="595" t="s">
        <v>889</v>
      </c>
      <c r="DD328" s="595" t="s">
        <v>890</v>
      </c>
      <c r="DE328" s="595" t="s">
        <v>686</v>
      </c>
      <c r="DF328" s="286">
        <v>440</v>
      </c>
      <c r="DG328" s="286">
        <v>19200</v>
      </c>
      <c r="DH328" s="286">
        <v>816560</v>
      </c>
      <c r="DI328" s="286">
        <v>1599421</v>
      </c>
      <c r="DJ328">
        <v>33</v>
      </c>
      <c r="DK328" s="643">
        <f t="shared" si="125"/>
        <v>3091.5868848384584</v>
      </c>
      <c r="DL328" s="408">
        <f t="shared" si="126"/>
        <v>59358468.188898399</v>
      </c>
      <c r="DM328" s="286"/>
      <c r="DN328" s="286"/>
      <c r="FH328">
        <v>20</v>
      </c>
      <c r="FI328" t="s">
        <v>1115</v>
      </c>
      <c r="FJ328" t="s">
        <v>1116</v>
      </c>
      <c r="FK328" t="s">
        <v>695</v>
      </c>
      <c r="FL328" s="286">
        <v>68320</v>
      </c>
      <c r="FM328" s="286">
        <v>6599312</v>
      </c>
      <c r="FN328" s="286">
        <v>239570261</v>
      </c>
      <c r="FO328" s="286">
        <v>156626549</v>
      </c>
      <c r="FP328">
        <v>7</v>
      </c>
      <c r="FQ328" s="925">
        <v>1047.1475692534934</v>
      </c>
      <c r="FR328" s="926">
        <v>6910453519.5454102</v>
      </c>
      <c r="FS328">
        <v>0</v>
      </c>
    </row>
    <row r="329" spans="76:175">
      <c r="BX329" s="623"/>
      <c r="BY329" t="s">
        <v>1455</v>
      </c>
      <c r="BZ329" t="s">
        <v>1456</v>
      </c>
      <c r="CA329">
        <v>1</v>
      </c>
      <c r="CB329">
        <v>1</v>
      </c>
      <c r="CC329" t="s">
        <v>700</v>
      </c>
      <c r="CD329" s="286">
        <v>7960</v>
      </c>
      <c r="CE329" s="296">
        <v>111880</v>
      </c>
      <c r="CF329" s="261">
        <v>7087801</v>
      </c>
      <c r="CG329" s="261">
        <v>5750399</v>
      </c>
      <c r="CH329" s="202">
        <v>33</v>
      </c>
      <c r="CI329" s="261">
        <f t="shared" si="127"/>
        <v>3091.5868848384584</v>
      </c>
      <c r="CJ329" s="261">
        <f t="shared" si="128"/>
        <v>345886740.67572671</v>
      </c>
      <c r="CL329">
        <v>10360</v>
      </c>
      <c r="CM329" s="299">
        <v>2019</v>
      </c>
      <c r="CN329" s="299">
        <v>2670</v>
      </c>
      <c r="CO329" s="300" t="s">
        <v>257</v>
      </c>
      <c r="CP329" s="299">
        <v>755</v>
      </c>
      <c r="CQ329" s="299">
        <v>44</v>
      </c>
      <c r="CR329" s="294" t="s">
        <v>385</v>
      </c>
      <c r="CS329" s="294" t="s">
        <v>404</v>
      </c>
      <c r="CT329" s="294" t="s">
        <v>400</v>
      </c>
      <c r="CU329" s="301">
        <v>33811000</v>
      </c>
      <c r="DB329">
        <f t="shared" si="124"/>
        <v>42</v>
      </c>
      <c r="DC329" s="595" t="s">
        <v>891</v>
      </c>
      <c r="DD329" s="595" t="s">
        <v>892</v>
      </c>
      <c r="DE329" s="595" t="s">
        <v>687</v>
      </c>
      <c r="DF329" s="286">
        <v>1840</v>
      </c>
      <c r="DG329" s="286">
        <v>54440</v>
      </c>
      <c r="DH329" s="286">
        <v>4016480</v>
      </c>
      <c r="DI329" s="286">
        <v>5670203</v>
      </c>
      <c r="DJ329">
        <v>33</v>
      </c>
      <c r="DK329" s="643">
        <f t="shared" si="125"/>
        <v>3091.5868848384584</v>
      </c>
      <c r="DL329" s="408">
        <f t="shared" si="126"/>
        <v>168305990.01060566</v>
      </c>
      <c r="DM329" s="286"/>
      <c r="DN329" s="286"/>
      <c r="FH329">
        <v>20</v>
      </c>
      <c r="FI329" t="s">
        <v>965</v>
      </c>
      <c r="FJ329" t="s">
        <v>966</v>
      </c>
      <c r="FK329" t="s">
        <v>695</v>
      </c>
      <c r="FL329" s="286">
        <v>3396</v>
      </c>
      <c r="FM329" s="286">
        <v>284312</v>
      </c>
      <c r="FN329" s="286">
        <v>8878299</v>
      </c>
      <c r="FO329" s="286">
        <v>6238142</v>
      </c>
      <c r="FP329">
        <v>7</v>
      </c>
      <c r="FQ329" s="925">
        <v>1047.1475692534934</v>
      </c>
      <c r="FR329" s="926">
        <v>297716619.7095992</v>
      </c>
      <c r="FS329">
        <v>0</v>
      </c>
    </row>
    <row r="330" spans="76:175">
      <c r="BX330" s="623"/>
      <c r="BY330" t="s">
        <v>1457</v>
      </c>
      <c r="BZ330" t="s">
        <v>1458</v>
      </c>
      <c r="CA330">
        <v>1</v>
      </c>
      <c r="CB330">
        <v>1</v>
      </c>
      <c r="CC330" t="s">
        <v>700</v>
      </c>
      <c r="CD330" s="286">
        <v>560</v>
      </c>
      <c r="CE330" s="296">
        <v>9400</v>
      </c>
      <c r="CF330" s="261">
        <v>677800</v>
      </c>
      <c r="CG330" s="261">
        <v>514931.00000000006</v>
      </c>
      <c r="CH330" s="202">
        <v>33</v>
      </c>
      <c r="CI330" s="261">
        <f t="shared" si="127"/>
        <v>3091.5868848384584</v>
      </c>
      <c r="CJ330" s="261">
        <f t="shared" si="128"/>
        <v>29060916.717481509</v>
      </c>
      <c r="CL330">
        <v>8960</v>
      </c>
      <c r="CM330" s="299">
        <v>2019</v>
      </c>
      <c r="CN330" s="299">
        <v>2670</v>
      </c>
      <c r="CO330" s="300" t="s">
        <v>257</v>
      </c>
      <c r="CP330" s="299">
        <v>755</v>
      </c>
      <c r="CQ330" s="299">
        <v>45</v>
      </c>
      <c r="CR330" s="294" t="s">
        <v>385</v>
      </c>
      <c r="CS330" s="294" t="s">
        <v>405</v>
      </c>
      <c r="CT330" s="294" t="s">
        <v>402</v>
      </c>
      <c r="CU330" s="301">
        <v>2086000</v>
      </c>
      <c r="DB330">
        <f t="shared" si="124"/>
        <v>42</v>
      </c>
      <c r="DC330" s="595" t="s">
        <v>891</v>
      </c>
      <c r="DD330" s="595" t="s">
        <v>892</v>
      </c>
      <c r="DE330" s="595" t="s">
        <v>686</v>
      </c>
      <c r="DF330" s="286">
        <v>760</v>
      </c>
      <c r="DG330" s="286">
        <v>26520</v>
      </c>
      <c r="DH330" s="286">
        <v>1439520</v>
      </c>
      <c r="DI330" s="286">
        <v>2484321</v>
      </c>
      <c r="DJ330">
        <v>33</v>
      </c>
      <c r="DK330" s="643">
        <f t="shared" si="125"/>
        <v>3091.5868848384584</v>
      </c>
      <c r="DL330" s="408">
        <f t="shared" si="126"/>
        <v>81988884.185915917</v>
      </c>
      <c r="DM330" s="286"/>
      <c r="DN330" s="286"/>
      <c r="FH330">
        <v>20</v>
      </c>
      <c r="FI330" t="s">
        <v>1117</v>
      </c>
      <c r="FJ330" t="s">
        <v>1118</v>
      </c>
      <c r="FK330" t="s">
        <v>695</v>
      </c>
      <c r="FL330" s="286">
        <v>64984</v>
      </c>
      <c r="FM330" s="286">
        <v>6125636</v>
      </c>
      <c r="FN330" s="286">
        <v>220727006.99999997</v>
      </c>
      <c r="FO330" s="286">
        <v>146545639.99999997</v>
      </c>
      <c r="FP330">
        <v>7</v>
      </c>
      <c r="FQ330" s="925">
        <v>1047.1475692534934</v>
      </c>
      <c r="FR330" s="926">
        <v>6414444847.5316925</v>
      </c>
      <c r="FS330">
        <v>0</v>
      </c>
    </row>
    <row r="331" spans="76:175">
      <c r="BX331" s="623"/>
      <c r="BY331" t="s">
        <v>1459</v>
      </c>
      <c r="BZ331" t="s">
        <v>1460</v>
      </c>
      <c r="CA331">
        <v>1</v>
      </c>
      <c r="CB331">
        <v>1</v>
      </c>
      <c r="CC331" t="s">
        <v>700</v>
      </c>
      <c r="CD331" s="286">
        <v>2600</v>
      </c>
      <c r="CE331" s="296">
        <v>34840</v>
      </c>
      <c r="CF331" s="261">
        <v>3748655</v>
      </c>
      <c r="CG331" s="261">
        <v>2109758</v>
      </c>
      <c r="CH331" s="202">
        <v>33</v>
      </c>
      <c r="CI331" s="261">
        <f t="shared" si="127"/>
        <v>3091.5868848384584</v>
      </c>
      <c r="CJ331" s="261">
        <f t="shared" si="128"/>
        <v>107710887.0677719</v>
      </c>
      <c r="CL331">
        <v>1600</v>
      </c>
      <c r="CM331" s="299">
        <v>2019</v>
      </c>
      <c r="CN331" s="299">
        <v>2670</v>
      </c>
      <c r="CO331" s="300" t="s">
        <v>257</v>
      </c>
      <c r="CP331" s="299">
        <v>755</v>
      </c>
      <c r="CQ331" s="299">
        <v>46</v>
      </c>
      <c r="CR331" s="294" t="s">
        <v>385</v>
      </c>
      <c r="CS331" s="294" t="s">
        <v>405</v>
      </c>
      <c r="CT331" s="294" t="s">
        <v>406</v>
      </c>
      <c r="CU331" s="301">
        <v>575980000</v>
      </c>
      <c r="DB331">
        <f t="shared" si="124"/>
        <v>48</v>
      </c>
      <c r="DC331" s="595" t="s">
        <v>1200</v>
      </c>
      <c r="DD331" s="595" t="s">
        <v>1201</v>
      </c>
      <c r="DE331" s="595" t="s">
        <v>695</v>
      </c>
      <c r="DF331" s="286">
        <v>3000</v>
      </c>
      <c r="DG331" s="286">
        <v>221760</v>
      </c>
      <c r="DH331" s="286">
        <v>22636960</v>
      </c>
      <c r="DI331" s="286">
        <v>8342853.9999999991</v>
      </c>
      <c r="DJ331">
        <v>41</v>
      </c>
      <c r="DK331" s="643">
        <f t="shared" si="125"/>
        <v>143.17663014662168</v>
      </c>
      <c r="DL331" s="408">
        <f t="shared" si="126"/>
        <v>31750849.501314823</v>
      </c>
      <c r="DM331" s="286"/>
      <c r="DN331" s="286"/>
      <c r="FH331">
        <v>20</v>
      </c>
      <c r="FI331" t="s">
        <v>967</v>
      </c>
      <c r="FJ331" t="s">
        <v>968</v>
      </c>
      <c r="FK331" t="s">
        <v>695</v>
      </c>
      <c r="FL331" s="286">
        <v>1200</v>
      </c>
      <c r="FM331" s="286">
        <v>107160</v>
      </c>
      <c r="FN331" s="286">
        <v>5849373</v>
      </c>
      <c r="FO331" s="286">
        <v>2902765.0000000005</v>
      </c>
      <c r="FP331">
        <v>7</v>
      </c>
      <c r="FQ331" s="925">
        <v>1047.1475692534934</v>
      </c>
      <c r="FR331" s="926">
        <v>112212333.52120435</v>
      </c>
      <c r="FS331">
        <v>0</v>
      </c>
    </row>
    <row r="332" spans="76:175">
      <c r="BX332" s="623"/>
      <c r="BY332" t="s">
        <v>1461</v>
      </c>
      <c r="BZ332" t="s">
        <v>1462</v>
      </c>
      <c r="CA332">
        <v>1</v>
      </c>
      <c r="CB332">
        <v>1</v>
      </c>
      <c r="CC332" t="s">
        <v>700</v>
      </c>
      <c r="CD332" s="286">
        <v>3400</v>
      </c>
      <c r="CE332" s="296">
        <v>32160</v>
      </c>
      <c r="CF332" s="261">
        <v>3860742</v>
      </c>
      <c r="CG332" s="261">
        <v>2148760</v>
      </c>
      <c r="CH332" s="202">
        <v>33</v>
      </c>
      <c r="CI332" s="261">
        <f t="shared" si="127"/>
        <v>3091.5868848384584</v>
      </c>
      <c r="CJ332" s="261">
        <f t="shared" si="128"/>
        <v>99425434.216404825</v>
      </c>
      <c r="CL332">
        <v>6720</v>
      </c>
      <c r="CM332" s="299">
        <v>2019</v>
      </c>
      <c r="CN332" s="299">
        <v>2670</v>
      </c>
      <c r="CO332" s="300" t="s">
        <v>257</v>
      </c>
      <c r="CP332" s="299">
        <v>755</v>
      </c>
      <c r="CQ332" s="299">
        <v>47</v>
      </c>
      <c r="CR332" s="294" t="s">
        <v>385</v>
      </c>
      <c r="CS332" s="294" t="s">
        <v>407</v>
      </c>
      <c r="CT332" s="294" t="s">
        <v>387</v>
      </c>
      <c r="CU332" s="301">
        <v>0</v>
      </c>
      <c r="DB332">
        <f t="shared" si="124"/>
        <v>48</v>
      </c>
      <c r="DC332" s="595" t="s">
        <v>1038</v>
      </c>
      <c r="DD332" s="595" t="s">
        <v>1039</v>
      </c>
      <c r="DE332" s="595" t="s">
        <v>689</v>
      </c>
      <c r="DF332" s="286">
        <v>640</v>
      </c>
      <c r="DG332" s="286">
        <v>61280</v>
      </c>
      <c r="DH332" s="286">
        <v>3179960</v>
      </c>
      <c r="DI332" s="286">
        <v>1155331</v>
      </c>
      <c r="DJ332">
        <v>41</v>
      </c>
      <c r="DK332" s="643">
        <f t="shared" si="125"/>
        <v>143.17663014662168</v>
      </c>
      <c r="DL332" s="408">
        <f t="shared" si="126"/>
        <v>8773863.8953849766</v>
      </c>
      <c r="DM332" s="286"/>
      <c r="DN332" s="286"/>
      <c r="FH332">
        <v>20</v>
      </c>
      <c r="FI332" t="s">
        <v>1119</v>
      </c>
      <c r="FJ332" t="s">
        <v>1120</v>
      </c>
      <c r="FK332" t="s">
        <v>695</v>
      </c>
      <c r="FL332" s="286">
        <v>240</v>
      </c>
      <c r="FM332" s="286">
        <v>21800</v>
      </c>
      <c r="FN332" s="286">
        <v>1419480</v>
      </c>
      <c r="FO332" s="286">
        <v>550641</v>
      </c>
      <c r="FP332">
        <v>7</v>
      </c>
      <c r="FQ332" s="925">
        <v>1047.1475692534934</v>
      </c>
      <c r="FR332" s="926">
        <v>22827817.009726156</v>
      </c>
      <c r="FS332">
        <v>0</v>
      </c>
    </row>
    <row r="333" spans="76:175">
      <c r="BX333" s="623"/>
      <c r="BY333" t="s">
        <v>1463</v>
      </c>
      <c r="BZ333" t="s">
        <v>1464</v>
      </c>
      <c r="CA333">
        <v>1</v>
      </c>
      <c r="CB333">
        <v>1</v>
      </c>
      <c r="CC333" t="s">
        <v>700</v>
      </c>
      <c r="CD333" s="286">
        <v>800</v>
      </c>
      <c r="CE333" s="296">
        <v>11360</v>
      </c>
      <c r="CF333" s="261">
        <v>895827</v>
      </c>
      <c r="CG333" s="261">
        <v>542916</v>
      </c>
      <c r="CH333" s="202">
        <v>34</v>
      </c>
      <c r="CI333" s="261">
        <f t="shared" si="127"/>
        <v>8809.1513891176346</v>
      </c>
      <c r="CJ333" s="261">
        <f t="shared" si="128"/>
        <v>100071959.78037633</v>
      </c>
      <c r="CL333">
        <v>111880</v>
      </c>
      <c r="CM333" s="299">
        <v>2019</v>
      </c>
      <c r="CN333" s="299">
        <v>2670</v>
      </c>
      <c r="CO333" s="300" t="s">
        <v>257</v>
      </c>
      <c r="CP333" s="299">
        <v>755</v>
      </c>
      <c r="CQ333" s="299">
        <v>48</v>
      </c>
      <c r="CR333" s="294" t="s">
        <v>385</v>
      </c>
      <c r="CS333" s="294" t="s">
        <v>407</v>
      </c>
      <c r="CT333" s="294" t="s">
        <v>388</v>
      </c>
      <c r="CU333" s="301">
        <v>11821000</v>
      </c>
      <c r="DB333">
        <f t="shared" si="124"/>
        <v>48</v>
      </c>
      <c r="DC333" s="595" t="s">
        <v>1013</v>
      </c>
      <c r="DD333" s="595" t="s">
        <v>1014</v>
      </c>
      <c r="DE333" s="595" t="s">
        <v>690</v>
      </c>
      <c r="DF333" s="286">
        <v>3000</v>
      </c>
      <c r="DG333" s="286">
        <v>286120</v>
      </c>
      <c r="DH333" s="286">
        <v>13257265</v>
      </c>
      <c r="DI333" s="286">
        <v>4209183</v>
      </c>
      <c r="DJ333">
        <v>41</v>
      </c>
      <c r="DK333" s="643">
        <f t="shared" si="125"/>
        <v>143.17663014662168</v>
      </c>
      <c r="DL333" s="408">
        <f t="shared" si="126"/>
        <v>40965697.417551391</v>
      </c>
      <c r="DM333" s="286"/>
      <c r="DN333" s="286"/>
      <c r="FH333">
        <v>14</v>
      </c>
      <c r="FI333" t="s">
        <v>1091</v>
      </c>
      <c r="FJ333" t="s">
        <v>1092</v>
      </c>
      <c r="FK333" t="s">
        <v>695</v>
      </c>
      <c r="FL333" s="286">
        <v>55700</v>
      </c>
      <c r="FM333" s="286">
        <v>5580000</v>
      </c>
      <c r="FN333" s="286">
        <v>177940169.99999997</v>
      </c>
      <c r="FO333" s="286">
        <v>116819413</v>
      </c>
      <c r="FP333">
        <v>13</v>
      </c>
      <c r="FQ333" s="925">
        <v>106.2931379319991</v>
      </c>
      <c r="FR333" s="926">
        <v>593115709.66055501</v>
      </c>
      <c r="FS333">
        <v>0</v>
      </c>
    </row>
    <row r="334" spans="76:175">
      <c r="BX334" s="623"/>
      <c r="BY334" t="s">
        <v>1465</v>
      </c>
      <c r="BZ334" t="s">
        <v>1466</v>
      </c>
      <c r="CA334">
        <v>1</v>
      </c>
      <c r="CB334">
        <v>1</v>
      </c>
      <c r="CC334" t="s">
        <v>700</v>
      </c>
      <c r="CD334" s="286">
        <v>480</v>
      </c>
      <c r="CE334" s="296">
        <v>4320</v>
      </c>
      <c r="CF334" s="261">
        <v>875766</v>
      </c>
      <c r="CG334" s="261">
        <v>337059</v>
      </c>
      <c r="CH334" s="202">
        <v>34</v>
      </c>
      <c r="CI334" s="261">
        <f t="shared" si="127"/>
        <v>8809.1513891176346</v>
      </c>
      <c r="CJ334" s="261">
        <f t="shared" si="128"/>
        <v>38055534.000988178</v>
      </c>
      <c r="CL334">
        <v>9400</v>
      </c>
      <c r="CM334" s="299">
        <v>2019</v>
      </c>
      <c r="CN334" s="299">
        <v>2670</v>
      </c>
      <c r="CO334" s="300" t="s">
        <v>257</v>
      </c>
      <c r="CP334" s="299">
        <v>755</v>
      </c>
      <c r="CQ334" s="299">
        <v>49</v>
      </c>
      <c r="CR334" s="294" t="s">
        <v>385</v>
      </c>
      <c r="CS334" s="294" t="s">
        <v>407</v>
      </c>
      <c r="CT334" s="294" t="s">
        <v>389</v>
      </c>
      <c r="CU334" s="301">
        <v>51567000</v>
      </c>
      <c r="DB334">
        <f t="shared" si="124"/>
        <v>48</v>
      </c>
      <c r="DC334" s="595" t="s">
        <v>1015</v>
      </c>
      <c r="DD334" s="595" t="s">
        <v>1014</v>
      </c>
      <c r="DE334" s="595" t="s">
        <v>690</v>
      </c>
      <c r="DF334" s="286">
        <v>1160</v>
      </c>
      <c r="DG334" s="286">
        <v>108640</v>
      </c>
      <c r="DH334" s="286">
        <v>6547880</v>
      </c>
      <c r="DI334" s="286">
        <v>2021295</v>
      </c>
      <c r="DJ334">
        <v>41</v>
      </c>
      <c r="DK334" s="643">
        <f t="shared" si="125"/>
        <v>143.17663014662168</v>
      </c>
      <c r="DL334" s="408">
        <f t="shared" si="126"/>
        <v>15554709.099128978</v>
      </c>
      <c r="DM334" s="286"/>
      <c r="DN334" s="286"/>
      <c r="FH334">
        <v>32</v>
      </c>
      <c r="FI334" t="s">
        <v>867</v>
      </c>
      <c r="FJ334" t="s">
        <v>868</v>
      </c>
      <c r="FK334" t="s">
        <v>695</v>
      </c>
      <c r="FL334" s="286">
        <v>15560</v>
      </c>
      <c r="FM334" s="286">
        <v>1567600</v>
      </c>
      <c r="FN334" s="286">
        <v>111277600</v>
      </c>
      <c r="FO334" s="286">
        <v>39431467</v>
      </c>
      <c r="FP334">
        <v>13</v>
      </c>
      <c r="FQ334" s="925">
        <v>106.2931379319991</v>
      </c>
      <c r="FR334" s="926">
        <v>166625123.02220178</v>
      </c>
      <c r="FS334">
        <v>0</v>
      </c>
    </row>
    <row r="335" spans="76:175">
      <c r="BX335" s="623"/>
      <c r="BY335" t="s">
        <v>1467</v>
      </c>
      <c r="BZ335" t="s">
        <v>1468</v>
      </c>
      <c r="CA335">
        <v>1</v>
      </c>
      <c r="CB335">
        <v>1</v>
      </c>
      <c r="CC335" t="s">
        <v>700</v>
      </c>
      <c r="CD335" s="286">
        <v>1240</v>
      </c>
      <c r="CE335" s="296">
        <v>14600</v>
      </c>
      <c r="CF335" s="261">
        <v>1175712</v>
      </c>
      <c r="CG335" s="261">
        <v>873522</v>
      </c>
      <c r="CH335" s="202">
        <v>34</v>
      </c>
      <c r="CI335" s="261">
        <f t="shared" si="127"/>
        <v>8809.1513891176346</v>
      </c>
      <c r="CJ335" s="261">
        <f t="shared" si="128"/>
        <v>128613610.28111747</v>
      </c>
      <c r="CL335">
        <v>34840</v>
      </c>
      <c r="CM335" s="299">
        <v>2019</v>
      </c>
      <c r="CN335" s="299">
        <v>2670</v>
      </c>
      <c r="CO335" s="300" t="s">
        <v>257</v>
      </c>
      <c r="CP335" s="299">
        <v>755</v>
      </c>
      <c r="CQ335" s="299">
        <v>50</v>
      </c>
      <c r="CR335" s="294" t="s">
        <v>385</v>
      </c>
      <c r="CS335" s="294" t="s">
        <v>407</v>
      </c>
      <c r="CT335" s="294" t="s">
        <v>390</v>
      </c>
      <c r="CU335" s="301">
        <v>93079000</v>
      </c>
      <c r="DJ335" s="286"/>
      <c r="DK335" s="286"/>
      <c r="DL335" s="286"/>
      <c r="DM335" s="286"/>
      <c r="DN335" s="286"/>
      <c r="FH335">
        <v>32</v>
      </c>
      <c r="FI335" t="s">
        <v>1009</v>
      </c>
      <c r="FJ335" t="s">
        <v>1010</v>
      </c>
      <c r="FK335" t="s">
        <v>695</v>
      </c>
      <c r="FL335" s="286">
        <v>9440</v>
      </c>
      <c r="FM335" s="286">
        <v>951960</v>
      </c>
      <c r="FN335" s="286">
        <v>38174860</v>
      </c>
      <c r="FO335" s="286">
        <v>17264075</v>
      </c>
      <c r="FP335">
        <v>13</v>
      </c>
      <c r="FQ335" s="925">
        <v>106.2931379319991</v>
      </c>
      <c r="FR335" s="926">
        <v>101186815.58574586</v>
      </c>
      <c r="FS335">
        <v>0</v>
      </c>
    </row>
    <row r="336" spans="76:175">
      <c r="BX336" s="623"/>
      <c r="BY336" t="s">
        <v>1469</v>
      </c>
      <c r="BZ336" t="s">
        <v>1470</v>
      </c>
      <c r="CA336">
        <v>1</v>
      </c>
      <c r="CB336">
        <v>1</v>
      </c>
      <c r="CC336" t="s">
        <v>700</v>
      </c>
      <c r="CD336" s="286">
        <v>1040</v>
      </c>
      <c r="CE336" s="296">
        <v>20040</v>
      </c>
      <c r="CF336" s="261">
        <v>920120</v>
      </c>
      <c r="CG336" s="261">
        <v>742424</v>
      </c>
      <c r="CH336" s="202">
        <v>34</v>
      </c>
      <c r="CI336" s="261">
        <f t="shared" si="127"/>
        <v>8809.1513891176346</v>
      </c>
      <c r="CJ336" s="261">
        <f t="shared" si="128"/>
        <v>176535393.83791739</v>
      </c>
      <c r="CL336">
        <v>32160</v>
      </c>
      <c r="CM336" s="299">
        <v>2019</v>
      </c>
      <c r="CN336" s="299">
        <v>2670</v>
      </c>
      <c r="CO336" s="300" t="s">
        <v>257</v>
      </c>
      <c r="CP336" s="299">
        <v>755</v>
      </c>
      <c r="CQ336" s="299">
        <v>51</v>
      </c>
      <c r="CR336" s="294" t="s">
        <v>385</v>
      </c>
      <c r="CS336" s="294" t="s">
        <v>407</v>
      </c>
      <c r="CT336" s="294" t="s">
        <v>391</v>
      </c>
      <c r="CU336" s="301">
        <v>27779000</v>
      </c>
      <c r="DJ336" s="286"/>
      <c r="DK336" s="286"/>
      <c r="DL336" s="286"/>
      <c r="DM336" s="286"/>
      <c r="DN336" s="286"/>
      <c r="FH336">
        <v>13</v>
      </c>
      <c r="FI336" t="s">
        <v>1089</v>
      </c>
      <c r="FJ336" t="s">
        <v>1090</v>
      </c>
      <c r="FK336" t="s">
        <v>695</v>
      </c>
      <c r="FL336" s="286">
        <v>26872</v>
      </c>
      <c r="FM336" s="286">
        <v>2032156</v>
      </c>
      <c r="FN336" s="286">
        <v>46889334</v>
      </c>
      <c r="FO336" s="286">
        <v>29709677</v>
      </c>
      <c r="FP336">
        <v>16</v>
      </c>
      <c r="FQ336" s="925">
        <v>319.51291727084612</v>
      </c>
      <c r="FR336" s="926">
        <v>649300091.90945351</v>
      </c>
      <c r="FS336">
        <v>0</v>
      </c>
    </row>
    <row r="337" spans="76:175">
      <c r="BX337" s="623"/>
      <c r="BY337" t="s">
        <v>1471</v>
      </c>
      <c r="BZ337" t="s">
        <v>1472</v>
      </c>
      <c r="CA337">
        <v>1</v>
      </c>
      <c r="CB337">
        <v>1</v>
      </c>
      <c r="CC337" t="s">
        <v>700</v>
      </c>
      <c r="CD337" s="286">
        <v>1120</v>
      </c>
      <c r="CE337" s="296">
        <v>16880</v>
      </c>
      <c r="CF337" s="261">
        <v>1276040</v>
      </c>
      <c r="CG337" s="261">
        <v>949439</v>
      </c>
      <c r="CH337" s="202">
        <v>34</v>
      </c>
      <c r="CI337" s="261">
        <f t="shared" si="127"/>
        <v>8809.1513891176346</v>
      </c>
      <c r="CJ337" s="261">
        <f t="shared" si="128"/>
        <v>148698475.44830567</v>
      </c>
      <c r="CL337">
        <v>11360</v>
      </c>
      <c r="CM337" s="299">
        <v>2019</v>
      </c>
      <c r="CN337" s="299">
        <v>2670</v>
      </c>
      <c r="CO337" s="300" t="s">
        <v>257</v>
      </c>
      <c r="CP337" s="299">
        <v>755</v>
      </c>
      <c r="CQ337" s="299">
        <v>52</v>
      </c>
      <c r="CR337" s="294" t="s">
        <v>385</v>
      </c>
      <c r="CS337" s="294" t="s">
        <v>407</v>
      </c>
      <c r="CT337" s="294" t="s">
        <v>392</v>
      </c>
      <c r="CU337" s="301">
        <v>371905000</v>
      </c>
      <c r="DJ337" s="286"/>
      <c r="DK337" s="286"/>
      <c r="DL337" s="286"/>
      <c r="DM337" s="286"/>
      <c r="DN337" s="286"/>
      <c r="FH337">
        <v>29</v>
      </c>
      <c r="FI337" t="s">
        <v>1182</v>
      </c>
      <c r="FJ337" t="s">
        <v>1183</v>
      </c>
      <c r="FK337" t="s">
        <v>695</v>
      </c>
      <c r="FL337" s="286">
        <v>59626</v>
      </c>
      <c r="FM337" s="286">
        <v>4988058</v>
      </c>
      <c r="FN337" s="286">
        <v>98446452</v>
      </c>
      <c r="FO337" s="286">
        <v>61411574</v>
      </c>
      <c r="FP337">
        <v>17</v>
      </c>
      <c r="FQ337" s="925">
        <v>519.17405707126977</v>
      </c>
      <c r="FR337" s="926">
        <v>2589670308.7668037</v>
      </c>
      <c r="FS337">
        <v>0</v>
      </c>
    </row>
    <row r="338" spans="76:175">
      <c r="BX338" s="623"/>
      <c r="BY338" t="s">
        <v>1473</v>
      </c>
      <c r="BZ338" t="s">
        <v>1474</v>
      </c>
      <c r="CA338">
        <v>1</v>
      </c>
      <c r="CB338">
        <v>1</v>
      </c>
      <c r="CC338" t="s">
        <v>700</v>
      </c>
      <c r="CD338" s="286">
        <v>2960</v>
      </c>
      <c r="CE338" s="296">
        <v>35480</v>
      </c>
      <c r="CF338" s="261">
        <v>2274580</v>
      </c>
      <c r="CG338" s="261">
        <v>2096062</v>
      </c>
      <c r="CH338" s="202">
        <v>34</v>
      </c>
      <c r="CI338" s="261">
        <f t="shared" si="127"/>
        <v>8809.1513891176346</v>
      </c>
      <c r="CJ338" s="261">
        <f t="shared" si="128"/>
        <v>312548691.28589368</v>
      </c>
      <c r="CL338">
        <v>4320</v>
      </c>
      <c r="CM338" s="299">
        <v>2019</v>
      </c>
      <c r="CN338" s="299">
        <v>2670</v>
      </c>
      <c r="CO338" s="300" t="s">
        <v>257</v>
      </c>
      <c r="CP338" s="299">
        <v>755</v>
      </c>
      <c r="CQ338" s="299">
        <v>53</v>
      </c>
      <c r="CR338" s="294" t="s">
        <v>385</v>
      </c>
      <c r="CS338" s="294" t="s">
        <v>407</v>
      </c>
      <c r="CT338" s="294" t="s">
        <v>393</v>
      </c>
      <c r="CU338" s="301">
        <v>70305000</v>
      </c>
      <c r="DD338" s="624" t="s">
        <v>1630</v>
      </c>
      <c r="DJ338" s="286"/>
      <c r="DK338" s="286"/>
      <c r="DL338" s="286"/>
      <c r="DM338" s="286"/>
      <c r="DN338" s="286"/>
      <c r="FH338">
        <v>29</v>
      </c>
      <c r="FI338" t="s">
        <v>1192</v>
      </c>
      <c r="FJ338" t="s">
        <v>1193</v>
      </c>
      <c r="FK338" t="s">
        <v>695</v>
      </c>
      <c r="FL338" s="286">
        <v>58032</v>
      </c>
      <c r="FM338" s="286">
        <v>4740172</v>
      </c>
      <c r="FN338" s="286">
        <v>222611687</v>
      </c>
      <c r="FO338" s="286">
        <v>129580171.99999999</v>
      </c>
      <c r="FP338">
        <v>17</v>
      </c>
      <c r="FQ338" s="925">
        <v>519.17405707126977</v>
      </c>
      <c r="FR338" s="926">
        <v>2460974328.4556351</v>
      </c>
      <c r="FS338">
        <v>0</v>
      </c>
    </row>
    <row r="339" spans="76:175" ht="19">
      <c r="BX339" s="623"/>
      <c r="BY339" t="s">
        <v>1475</v>
      </c>
      <c r="BZ339" t="s">
        <v>1476</v>
      </c>
      <c r="CA339">
        <v>1</v>
      </c>
      <c r="CB339">
        <v>1</v>
      </c>
      <c r="CC339" t="s">
        <v>700</v>
      </c>
      <c r="CD339" s="286">
        <v>4760</v>
      </c>
      <c r="CE339" s="296">
        <v>65680</v>
      </c>
      <c r="CF339" s="261">
        <v>6640332</v>
      </c>
      <c r="CG339" s="261">
        <v>4611193</v>
      </c>
      <c r="CH339" s="202">
        <v>34</v>
      </c>
      <c r="CI339" s="261">
        <f t="shared" si="127"/>
        <v>8809.1513891176346</v>
      </c>
      <c r="CJ339" s="261">
        <f t="shared" si="128"/>
        <v>578585063.23724627</v>
      </c>
      <c r="CL339">
        <v>14600</v>
      </c>
      <c r="CM339" s="299">
        <v>2019</v>
      </c>
      <c r="CN339" s="299">
        <v>2670</v>
      </c>
      <c r="CO339" s="300" t="s">
        <v>257</v>
      </c>
      <c r="CP339" s="299">
        <v>755</v>
      </c>
      <c r="CQ339" s="299">
        <v>54</v>
      </c>
      <c r="CR339" s="294" t="s">
        <v>385</v>
      </c>
      <c r="CS339" s="294" t="s">
        <v>407</v>
      </c>
      <c r="CT339" s="294" t="s">
        <v>394</v>
      </c>
      <c r="CU339" s="301">
        <v>117637000</v>
      </c>
      <c r="DD339" s="1065" t="s">
        <v>1631</v>
      </c>
      <c r="DE339" s="1065"/>
      <c r="DF339" s="1066"/>
      <c r="DG339" s="252" t="s">
        <v>1632</v>
      </c>
      <c r="FH339">
        <v>29</v>
      </c>
      <c r="FI339" t="s">
        <v>1184</v>
      </c>
      <c r="FJ339" t="s">
        <v>1185</v>
      </c>
      <c r="FK339" t="s">
        <v>695</v>
      </c>
      <c r="FL339" s="286">
        <v>61831</v>
      </c>
      <c r="FM339" s="286">
        <v>5724466</v>
      </c>
      <c r="FN339" s="286">
        <v>197532987.00000003</v>
      </c>
      <c r="FO339" s="286">
        <v>119270016</v>
      </c>
      <c r="FP339">
        <v>18</v>
      </c>
      <c r="FQ339" s="925">
        <v>469.80818268902482</v>
      </c>
      <c r="FR339" s="926">
        <v>2689400968.3251109</v>
      </c>
      <c r="FS339">
        <v>0</v>
      </c>
    </row>
    <row r="340" spans="76:175" ht="64">
      <c r="BX340" s="623"/>
      <c r="BY340" t="s">
        <v>1477</v>
      </c>
      <c r="BZ340" t="s">
        <v>1478</v>
      </c>
      <c r="CA340">
        <v>1</v>
      </c>
      <c r="CB340">
        <v>1</v>
      </c>
      <c r="CC340" t="s">
        <v>700</v>
      </c>
      <c r="CD340" s="286">
        <v>480</v>
      </c>
      <c r="CE340" s="296">
        <v>4560</v>
      </c>
      <c r="CF340" s="261">
        <v>594880</v>
      </c>
      <c r="CG340" s="261">
        <v>436274</v>
      </c>
      <c r="CH340" s="202">
        <v>34</v>
      </c>
      <c r="CI340" s="261">
        <f t="shared" si="127"/>
        <v>8809.1513891176346</v>
      </c>
      <c r="CJ340" s="261">
        <f t="shared" si="128"/>
        <v>40169730.334376417</v>
      </c>
      <c r="CL340">
        <v>20040</v>
      </c>
      <c r="CM340" s="299">
        <v>2019</v>
      </c>
      <c r="CN340" s="299">
        <v>2670</v>
      </c>
      <c r="CO340" s="300" t="s">
        <v>257</v>
      </c>
      <c r="CP340" s="299">
        <v>755</v>
      </c>
      <c r="CQ340" s="299">
        <v>55</v>
      </c>
      <c r="CR340" s="294" t="s">
        <v>385</v>
      </c>
      <c r="CS340" s="294" t="s">
        <v>407</v>
      </c>
      <c r="CT340" s="294" t="s">
        <v>395</v>
      </c>
      <c r="CU340" s="301">
        <v>21000000</v>
      </c>
      <c r="DD340" s="626" t="s">
        <v>798</v>
      </c>
      <c r="DE340" s="627" t="s">
        <v>1633</v>
      </c>
      <c r="DF340" s="628" t="s">
        <v>1634</v>
      </c>
      <c r="DG340" s="629" t="s">
        <v>1628</v>
      </c>
      <c r="FH340">
        <v>29</v>
      </c>
      <c r="FI340" t="s">
        <v>1190</v>
      </c>
      <c r="FJ340" t="s">
        <v>1191</v>
      </c>
      <c r="FK340" t="s">
        <v>695</v>
      </c>
      <c r="FL340" s="286">
        <v>84880</v>
      </c>
      <c r="FM340" s="286">
        <v>7240312</v>
      </c>
      <c r="FN340" s="286">
        <v>317718115</v>
      </c>
      <c r="FO340" s="286">
        <v>188052830.00000003</v>
      </c>
      <c r="FP340">
        <v>18</v>
      </c>
      <c r="FQ340" s="925">
        <v>469.80818268902482</v>
      </c>
      <c r="FR340" s="926">
        <v>3401557822.8215384</v>
      </c>
      <c r="FS340">
        <v>0</v>
      </c>
    </row>
    <row r="341" spans="76:175">
      <c r="BX341" s="623"/>
      <c r="BY341" t="s">
        <v>1479</v>
      </c>
      <c r="BZ341" t="s">
        <v>1480</v>
      </c>
      <c r="CA341">
        <v>1</v>
      </c>
      <c r="CB341">
        <v>1</v>
      </c>
      <c r="CC341" t="s">
        <v>700</v>
      </c>
      <c r="CD341" s="286">
        <v>320</v>
      </c>
      <c r="CE341" s="296">
        <v>1960</v>
      </c>
      <c r="CF341" s="261">
        <v>447376</v>
      </c>
      <c r="CG341" s="261">
        <v>196860</v>
      </c>
      <c r="CH341" s="202">
        <v>34</v>
      </c>
      <c r="CI341" s="261">
        <f t="shared" si="127"/>
        <v>8809.1513891176346</v>
      </c>
      <c r="CJ341" s="261">
        <f t="shared" si="128"/>
        <v>17265936.722670563</v>
      </c>
      <c r="CL341">
        <v>16880</v>
      </c>
      <c r="CM341" s="299">
        <v>2019</v>
      </c>
      <c r="CN341" s="299">
        <v>2670</v>
      </c>
      <c r="CO341" s="300" t="s">
        <v>257</v>
      </c>
      <c r="CP341" s="299">
        <v>755</v>
      </c>
      <c r="CQ341" s="299">
        <v>56</v>
      </c>
      <c r="CR341" s="294" t="s">
        <v>385</v>
      </c>
      <c r="CS341" s="294" t="s">
        <v>407</v>
      </c>
      <c r="CT341" s="294" t="s">
        <v>396</v>
      </c>
      <c r="CU341" s="301">
        <v>3232000</v>
      </c>
      <c r="DC341">
        <f>VALUE(LEFT(DD341,2))</f>
        <v>1</v>
      </c>
      <c r="DD341" s="630" t="s">
        <v>1635</v>
      </c>
      <c r="DE341" s="631">
        <v>106300.28030000011</v>
      </c>
      <c r="DF341" s="632">
        <v>171679.49270000382</v>
      </c>
      <c r="DG341" s="603">
        <f>(DF341*1000000)/(DE341*1000)</f>
        <v>1615.042709346493</v>
      </c>
      <c r="FH341">
        <v>29</v>
      </c>
      <c r="FI341" t="s">
        <v>1186</v>
      </c>
      <c r="FJ341" t="s">
        <v>1187</v>
      </c>
      <c r="FK341" t="s">
        <v>695</v>
      </c>
      <c r="FL341" s="286">
        <v>61516</v>
      </c>
      <c r="FM341" s="286">
        <v>5259724</v>
      </c>
      <c r="FN341" s="286">
        <v>255217837</v>
      </c>
      <c r="FO341" s="286">
        <v>134545678</v>
      </c>
      <c r="FP341">
        <v>19</v>
      </c>
      <c r="FQ341" s="925">
        <v>318.85396595091396</v>
      </c>
      <c r="FR341" s="926">
        <v>1677083857.2072051</v>
      </c>
      <c r="FS341">
        <v>0</v>
      </c>
    </row>
    <row r="342" spans="76:175">
      <c r="BX342" s="623"/>
      <c r="BY342" t="s">
        <v>1481</v>
      </c>
      <c r="BZ342" t="s">
        <v>1482</v>
      </c>
      <c r="CA342">
        <v>1</v>
      </c>
      <c r="CB342">
        <v>1</v>
      </c>
      <c r="CC342" t="s">
        <v>700</v>
      </c>
      <c r="CD342" s="286">
        <v>4760</v>
      </c>
      <c r="CE342" s="296">
        <v>43800</v>
      </c>
      <c r="CF342" s="261">
        <v>6744600</v>
      </c>
      <c r="CG342" s="261">
        <v>3391122</v>
      </c>
      <c r="CH342" s="202">
        <v>34</v>
      </c>
      <c r="CI342" s="261">
        <f t="shared" si="127"/>
        <v>8809.1513891176346</v>
      </c>
      <c r="CJ342" s="261">
        <f t="shared" si="128"/>
        <v>385840830.84335238</v>
      </c>
      <c r="CL342">
        <v>35480</v>
      </c>
      <c r="CM342" s="299">
        <v>2019</v>
      </c>
      <c r="CN342" s="299">
        <v>2670</v>
      </c>
      <c r="CO342" s="300" t="s">
        <v>257</v>
      </c>
      <c r="CP342" s="299">
        <v>755</v>
      </c>
      <c r="CQ342" s="299">
        <v>57</v>
      </c>
      <c r="CR342" s="294" t="s">
        <v>385</v>
      </c>
      <c r="CS342" s="294" t="s">
        <v>407</v>
      </c>
      <c r="CT342" s="294" t="s">
        <v>397</v>
      </c>
      <c r="CU342" s="301">
        <v>352615000</v>
      </c>
      <c r="DC342">
        <f t="shared" ref="DC342:DC383" si="129">VALUE(LEFT(DD342,2))</f>
        <v>2</v>
      </c>
      <c r="DD342" s="630" t="s">
        <v>1636</v>
      </c>
      <c r="DE342" s="633">
        <v>1237801.8725000089</v>
      </c>
      <c r="DF342" s="634">
        <v>152208.21080000946</v>
      </c>
      <c r="DG342" s="603">
        <f t="shared" ref="DG342:DG384" si="130">(DF342*1000000)/(DE342*1000)</f>
        <v>122.96653784550514</v>
      </c>
      <c r="FH342">
        <v>29</v>
      </c>
      <c r="FI342" t="s">
        <v>1188</v>
      </c>
      <c r="FJ342" t="s">
        <v>1189</v>
      </c>
      <c r="FK342" t="s">
        <v>695</v>
      </c>
      <c r="FL342" s="286">
        <v>98636</v>
      </c>
      <c r="FM342" s="286">
        <v>8734492</v>
      </c>
      <c r="FN342" s="286">
        <v>435595723</v>
      </c>
      <c r="FO342" s="286">
        <v>239183692</v>
      </c>
      <c r="FP342">
        <v>19</v>
      </c>
      <c r="FQ342" s="925">
        <v>318.85396595091396</v>
      </c>
      <c r="FR342" s="926">
        <v>2785027414.7665305</v>
      </c>
      <c r="FS342">
        <v>0</v>
      </c>
    </row>
    <row r="343" spans="76:175">
      <c r="BX343" s="623"/>
      <c r="BY343" t="s">
        <v>1483</v>
      </c>
      <c r="BZ343" t="s">
        <v>1484</v>
      </c>
      <c r="CA343">
        <v>1</v>
      </c>
      <c r="CB343">
        <v>1</v>
      </c>
      <c r="CC343" t="s">
        <v>700</v>
      </c>
      <c r="CD343" s="286">
        <v>11160</v>
      </c>
      <c r="CE343" s="296">
        <v>103480</v>
      </c>
      <c r="CF343" s="261">
        <v>17463050</v>
      </c>
      <c r="CG343" s="261">
        <v>8042681</v>
      </c>
      <c r="CH343" s="202">
        <v>34</v>
      </c>
      <c r="CI343" s="261">
        <f t="shared" si="127"/>
        <v>8809.1513891176346</v>
      </c>
      <c r="CJ343" s="261">
        <f t="shared" si="128"/>
        <v>911570985.74589288</v>
      </c>
      <c r="CL343">
        <v>65680</v>
      </c>
      <c r="CM343" s="299">
        <v>2019</v>
      </c>
      <c r="CN343" s="299">
        <v>2670</v>
      </c>
      <c r="CO343" s="300" t="s">
        <v>257</v>
      </c>
      <c r="CP343" s="299">
        <v>755</v>
      </c>
      <c r="CQ343" s="299">
        <v>58</v>
      </c>
      <c r="CR343" s="294" t="s">
        <v>385</v>
      </c>
      <c r="CS343" s="294" t="s">
        <v>407</v>
      </c>
      <c r="CT343" s="294" t="s">
        <v>398</v>
      </c>
      <c r="CU343" s="301">
        <v>282401000</v>
      </c>
      <c r="DC343">
        <f t="shared" si="129"/>
        <v>3</v>
      </c>
      <c r="DD343" s="630" t="s">
        <v>1637</v>
      </c>
      <c r="DE343" s="633">
        <v>593029.13639990555</v>
      </c>
      <c r="DF343" s="634">
        <v>402777.74230001465</v>
      </c>
      <c r="DG343" s="603">
        <f t="shared" si="130"/>
        <v>679.18710494589243</v>
      </c>
      <c r="FH343">
        <v>29</v>
      </c>
      <c r="FI343" t="s">
        <v>1194</v>
      </c>
      <c r="FJ343" t="s">
        <v>1195</v>
      </c>
      <c r="FK343" t="s">
        <v>695</v>
      </c>
      <c r="FL343" s="286">
        <v>408323</v>
      </c>
      <c r="FM343" s="286">
        <v>27723203.999999996</v>
      </c>
      <c r="FN343" s="286">
        <v>1375900478</v>
      </c>
      <c r="FO343" s="286">
        <v>734804255</v>
      </c>
      <c r="FP343">
        <v>19</v>
      </c>
      <c r="FQ343" s="925">
        <v>318.85396595091396</v>
      </c>
      <c r="FR343" s="926">
        <v>8839653544.2662411</v>
      </c>
      <c r="FS343">
        <v>0</v>
      </c>
    </row>
    <row r="344" spans="76:175" ht="32">
      <c r="BX344" s="623"/>
      <c r="BY344" t="s">
        <v>1485</v>
      </c>
      <c r="BZ344" t="s">
        <v>1486</v>
      </c>
      <c r="CA344">
        <v>1</v>
      </c>
      <c r="CB344">
        <v>1</v>
      </c>
      <c r="CC344" t="s">
        <v>700</v>
      </c>
      <c r="CD344" s="286">
        <v>4400</v>
      </c>
      <c r="CE344" s="296">
        <v>47600</v>
      </c>
      <c r="CF344" s="261">
        <v>5804227</v>
      </c>
      <c r="CG344" s="261">
        <v>3958059</v>
      </c>
      <c r="CH344" s="202">
        <v>34</v>
      </c>
      <c r="CI344" s="261">
        <f t="shared" si="127"/>
        <v>8809.1513891176346</v>
      </c>
      <c r="CJ344" s="261">
        <f t="shared" si="128"/>
        <v>419315606.12199938</v>
      </c>
      <c r="CL344">
        <v>4560</v>
      </c>
      <c r="CM344" s="299">
        <v>2019</v>
      </c>
      <c r="CN344" s="299">
        <v>2670</v>
      </c>
      <c r="CO344" s="300" t="s">
        <v>257</v>
      </c>
      <c r="CP344" s="299">
        <v>755</v>
      </c>
      <c r="CQ344" s="299">
        <v>59</v>
      </c>
      <c r="CR344" s="294" t="s">
        <v>385</v>
      </c>
      <c r="CS344" s="294" t="s">
        <v>407</v>
      </c>
      <c r="CT344" s="294" t="s">
        <v>399</v>
      </c>
      <c r="CU344" s="301">
        <v>7000</v>
      </c>
      <c r="DC344">
        <f t="shared" si="129"/>
        <v>4</v>
      </c>
      <c r="DD344" s="630" t="s">
        <v>1638</v>
      </c>
      <c r="DE344" s="633">
        <v>336845.07020004751</v>
      </c>
      <c r="DF344" s="634">
        <v>125481.46689999859</v>
      </c>
      <c r="DG344" s="603">
        <f t="shared" si="130"/>
        <v>372.51982588160462</v>
      </c>
      <c r="FH344">
        <v>29</v>
      </c>
      <c r="FI344" t="s">
        <v>1196</v>
      </c>
      <c r="FJ344" t="s">
        <v>1197</v>
      </c>
      <c r="FK344" t="s">
        <v>695</v>
      </c>
      <c r="FL344" s="286">
        <v>9012</v>
      </c>
      <c r="FM344" s="286">
        <v>835484</v>
      </c>
      <c r="FN344" s="286">
        <v>32076229</v>
      </c>
      <c r="FO344" s="286">
        <v>15220256.000000002</v>
      </c>
      <c r="FP344">
        <v>19</v>
      </c>
      <c r="FQ344" s="925">
        <v>318.85396595091396</v>
      </c>
      <c r="FR344" s="926">
        <v>266397386.88853341</v>
      </c>
      <c r="FS344">
        <v>0</v>
      </c>
    </row>
    <row r="345" spans="76:175">
      <c r="BX345" s="623"/>
      <c r="BY345" t="s">
        <v>1487</v>
      </c>
      <c r="BZ345" t="s">
        <v>1488</v>
      </c>
      <c r="CA345">
        <v>1</v>
      </c>
      <c r="CB345">
        <v>1</v>
      </c>
      <c r="CC345" t="s">
        <v>700</v>
      </c>
      <c r="CD345" s="286">
        <v>5960</v>
      </c>
      <c r="CE345" s="296">
        <v>54560</v>
      </c>
      <c r="CF345" s="261">
        <v>9742190</v>
      </c>
      <c r="CG345" s="261">
        <v>4014045</v>
      </c>
      <c r="CH345" s="202">
        <v>34</v>
      </c>
      <c r="CI345" s="261">
        <f t="shared" si="127"/>
        <v>8809.1513891176346</v>
      </c>
      <c r="CJ345" s="261">
        <f t="shared" si="128"/>
        <v>480627299.79025817</v>
      </c>
      <c r="CL345">
        <v>1960</v>
      </c>
      <c r="CM345" s="299">
        <v>2019</v>
      </c>
      <c r="CN345" s="299">
        <v>2670</v>
      </c>
      <c r="CO345" s="300" t="s">
        <v>257</v>
      </c>
      <c r="CP345" s="299">
        <v>755</v>
      </c>
      <c r="CQ345" s="299">
        <v>60</v>
      </c>
      <c r="CR345" s="294" t="s">
        <v>385</v>
      </c>
      <c r="CS345" s="294" t="s">
        <v>407</v>
      </c>
      <c r="CT345" s="294" t="s">
        <v>400</v>
      </c>
      <c r="CU345" s="301">
        <v>60203000</v>
      </c>
      <c r="DC345">
        <f t="shared" si="129"/>
        <v>5</v>
      </c>
      <c r="DD345" s="630" t="s">
        <v>1639</v>
      </c>
      <c r="DE345" s="633">
        <v>105922.49240000025</v>
      </c>
      <c r="DF345" s="634">
        <v>376886.00360001257</v>
      </c>
      <c r="DG345" s="603">
        <f t="shared" si="130"/>
        <v>3558.1300539715367</v>
      </c>
      <c r="FH345">
        <v>28</v>
      </c>
      <c r="FI345" t="s">
        <v>1123</v>
      </c>
      <c r="FJ345" t="s">
        <v>1124</v>
      </c>
      <c r="FK345" t="s">
        <v>695</v>
      </c>
      <c r="FL345" s="286">
        <v>4600</v>
      </c>
      <c r="FM345" s="286">
        <v>424600</v>
      </c>
      <c r="FN345" s="286">
        <v>17780538</v>
      </c>
      <c r="FO345" s="286">
        <v>7069688</v>
      </c>
      <c r="FP345">
        <v>20</v>
      </c>
      <c r="FQ345" s="925">
        <v>878.59703070032845</v>
      </c>
      <c r="FR345" s="926">
        <v>373052299.23535943</v>
      </c>
      <c r="FS345">
        <v>0</v>
      </c>
    </row>
    <row r="346" spans="76:175">
      <c r="BX346" s="623"/>
      <c r="BY346" t="s">
        <v>1489</v>
      </c>
      <c r="BZ346" t="s">
        <v>1490</v>
      </c>
      <c r="CA346">
        <v>1</v>
      </c>
      <c r="CB346">
        <v>1</v>
      </c>
      <c r="CC346" t="s">
        <v>700</v>
      </c>
      <c r="CD346" s="286">
        <v>28920</v>
      </c>
      <c r="CE346" s="296">
        <v>354800</v>
      </c>
      <c r="CF346" s="261">
        <v>30442964</v>
      </c>
      <c r="CG346" s="261">
        <v>20659944</v>
      </c>
      <c r="CH346" s="202">
        <v>34</v>
      </c>
      <c r="CI346" s="261">
        <f t="shared" si="127"/>
        <v>8809.1513891176346</v>
      </c>
      <c r="CJ346" s="261">
        <f t="shared" si="128"/>
        <v>3125486912.8589368</v>
      </c>
      <c r="CL346">
        <v>43800</v>
      </c>
      <c r="CM346" s="299">
        <v>2019</v>
      </c>
      <c r="CN346" s="299">
        <v>2670</v>
      </c>
      <c r="CO346" s="300" t="s">
        <v>257</v>
      </c>
      <c r="CP346" s="299">
        <v>755</v>
      </c>
      <c r="CQ346" s="299">
        <v>61</v>
      </c>
      <c r="CR346" s="294" t="s">
        <v>385</v>
      </c>
      <c r="CS346" s="294" t="s">
        <v>407</v>
      </c>
      <c r="CT346" s="294" t="s">
        <v>408</v>
      </c>
      <c r="CU346" s="301">
        <v>107985000</v>
      </c>
      <c r="DC346">
        <f t="shared" si="129"/>
        <v>6</v>
      </c>
      <c r="DD346" s="630" t="s">
        <v>1640</v>
      </c>
      <c r="DE346" s="633">
        <v>122956.37959999975</v>
      </c>
      <c r="DF346" s="634">
        <v>169725.73780001258</v>
      </c>
      <c r="DG346" s="603">
        <f t="shared" si="130"/>
        <v>1380.3735792495058</v>
      </c>
      <c r="FH346">
        <v>28</v>
      </c>
      <c r="FI346" t="s">
        <v>1125</v>
      </c>
      <c r="FJ346" t="s">
        <v>1126</v>
      </c>
      <c r="FK346" t="s">
        <v>695</v>
      </c>
      <c r="FL346" s="286">
        <v>80400</v>
      </c>
      <c r="FM346" s="286">
        <v>7921280.0000000009</v>
      </c>
      <c r="FN346" s="286">
        <v>304659665.00000006</v>
      </c>
      <c r="FO346" s="286">
        <v>139008349.99999997</v>
      </c>
      <c r="FP346">
        <v>20</v>
      </c>
      <c r="FQ346" s="925">
        <v>878.59703070032845</v>
      </c>
      <c r="FR346" s="926">
        <v>6959613087.3458986</v>
      </c>
      <c r="FS346">
        <v>0</v>
      </c>
    </row>
    <row r="347" spans="76:175">
      <c r="BX347" s="623"/>
      <c r="BY347" t="s">
        <v>1491</v>
      </c>
      <c r="BZ347" t="s">
        <v>1492</v>
      </c>
      <c r="CA347">
        <v>1</v>
      </c>
      <c r="CB347">
        <v>1</v>
      </c>
      <c r="CC347" t="s">
        <v>700</v>
      </c>
      <c r="CD347" s="286">
        <v>74000</v>
      </c>
      <c r="CE347" s="296">
        <v>726400</v>
      </c>
      <c r="CF347" s="261">
        <v>69670151</v>
      </c>
      <c r="CG347" s="261">
        <v>47948507</v>
      </c>
      <c r="CH347" s="202">
        <v>35</v>
      </c>
      <c r="CI347" s="261">
        <f t="shared" si="127"/>
        <v>17409.096095264758</v>
      </c>
      <c r="CJ347" s="261">
        <f t="shared" si="128"/>
        <v>12645967403.600321</v>
      </c>
      <c r="CL347">
        <v>103480</v>
      </c>
      <c r="CM347" s="299">
        <v>2019</v>
      </c>
      <c r="CN347" s="299">
        <v>2670</v>
      </c>
      <c r="CO347" s="300" t="s">
        <v>257</v>
      </c>
      <c r="CP347" s="299">
        <v>755</v>
      </c>
      <c r="CQ347" s="299">
        <v>62</v>
      </c>
      <c r="CR347" s="294" t="s">
        <v>385</v>
      </c>
      <c r="CS347" s="294" t="s">
        <v>407</v>
      </c>
      <c r="CT347" s="294" t="s">
        <v>409</v>
      </c>
      <c r="CU347" s="301">
        <v>298398000</v>
      </c>
      <c r="DC347">
        <f t="shared" si="129"/>
        <v>7</v>
      </c>
      <c r="DD347" s="630" t="s">
        <v>1641</v>
      </c>
      <c r="DE347" s="633">
        <v>680124.60679987096</v>
      </c>
      <c r="DF347" s="634">
        <v>712190.82879997289</v>
      </c>
      <c r="DG347" s="603">
        <f t="shared" si="130"/>
        <v>1047.1475692534934</v>
      </c>
      <c r="FH347">
        <v>28</v>
      </c>
      <c r="FI347" t="s">
        <v>971</v>
      </c>
      <c r="FJ347" t="s">
        <v>972</v>
      </c>
      <c r="FK347" t="s">
        <v>695</v>
      </c>
      <c r="FL347" s="286">
        <v>9920</v>
      </c>
      <c r="FM347" s="286">
        <v>877959.99999999988</v>
      </c>
      <c r="FN347" s="286">
        <v>42962696</v>
      </c>
      <c r="FO347" s="286">
        <v>19307585</v>
      </c>
      <c r="FP347">
        <v>20</v>
      </c>
      <c r="FQ347" s="925">
        <v>878.59703070032845</v>
      </c>
      <c r="FR347" s="926">
        <v>771373049.07366025</v>
      </c>
      <c r="FS347">
        <v>0</v>
      </c>
    </row>
    <row r="348" spans="76:175">
      <c r="BX348" s="623"/>
      <c r="BY348" t="s">
        <v>1493</v>
      </c>
      <c r="BZ348" t="s">
        <v>1494</v>
      </c>
      <c r="CA348">
        <v>1</v>
      </c>
      <c r="CB348">
        <v>1</v>
      </c>
      <c r="CC348" t="s">
        <v>700</v>
      </c>
      <c r="CD348" s="286">
        <v>9280</v>
      </c>
      <c r="CE348" s="296">
        <v>78960</v>
      </c>
      <c r="CF348" s="261">
        <v>17024145</v>
      </c>
      <c r="CG348" s="261">
        <v>6746893</v>
      </c>
      <c r="CH348" s="202">
        <v>34</v>
      </c>
      <c r="CI348" s="261">
        <f t="shared" si="127"/>
        <v>8809.1513891176346</v>
      </c>
      <c r="CJ348" s="261">
        <f t="shared" si="128"/>
        <v>695570593.68472838</v>
      </c>
      <c r="CL348">
        <v>47600</v>
      </c>
      <c r="CM348" s="299">
        <v>2019</v>
      </c>
      <c r="CN348" s="299">
        <v>2670</v>
      </c>
      <c r="CO348" s="300" t="s">
        <v>257</v>
      </c>
      <c r="CP348" s="299">
        <v>755</v>
      </c>
      <c r="CQ348" s="299">
        <v>63</v>
      </c>
      <c r="CR348" s="294" t="s">
        <v>385</v>
      </c>
      <c r="CS348" s="294" t="s">
        <v>410</v>
      </c>
      <c r="CT348" s="294" t="s">
        <v>402</v>
      </c>
      <c r="CU348" s="301">
        <v>11200000</v>
      </c>
      <c r="DC348">
        <f t="shared" si="129"/>
        <v>8</v>
      </c>
      <c r="DD348" s="630" t="s">
        <v>1642</v>
      </c>
      <c r="DE348" s="633">
        <v>109634.24759999984</v>
      </c>
      <c r="DF348" s="634">
        <v>207767.56210000874</v>
      </c>
      <c r="DG348" s="603">
        <f t="shared" si="130"/>
        <v>1895.097258824158</v>
      </c>
      <c r="FH348">
        <v>28</v>
      </c>
      <c r="FI348" t="s">
        <v>1127</v>
      </c>
      <c r="FJ348" t="s">
        <v>1128</v>
      </c>
      <c r="FK348" t="s">
        <v>695</v>
      </c>
      <c r="FL348" s="286">
        <v>10800</v>
      </c>
      <c r="FM348" s="286">
        <v>1082600</v>
      </c>
      <c r="FN348" s="286">
        <v>49661540</v>
      </c>
      <c r="FO348" s="286">
        <v>22745148</v>
      </c>
      <c r="FP348">
        <v>20</v>
      </c>
      <c r="FQ348" s="925">
        <v>878.59703070032845</v>
      </c>
      <c r="FR348" s="926">
        <v>951169145.43617558</v>
      </c>
      <c r="FS348">
        <v>0</v>
      </c>
    </row>
    <row r="349" spans="76:175">
      <c r="BX349" s="623"/>
      <c r="BY349" t="s">
        <v>1495</v>
      </c>
      <c r="BZ349" t="s">
        <v>1496</v>
      </c>
      <c r="CA349">
        <v>1</v>
      </c>
      <c r="CB349">
        <v>1</v>
      </c>
      <c r="CC349" t="s">
        <v>700</v>
      </c>
      <c r="CD349" s="286">
        <v>2920</v>
      </c>
      <c r="CE349" s="296">
        <v>26560</v>
      </c>
      <c r="CF349" s="261">
        <v>2919511</v>
      </c>
      <c r="CG349" s="261">
        <v>1987983</v>
      </c>
      <c r="CH349" s="202">
        <v>34</v>
      </c>
      <c r="CI349" s="261">
        <f t="shared" si="127"/>
        <v>8809.1513891176346</v>
      </c>
      <c r="CJ349" s="261">
        <f t="shared" si="128"/>
        <v>233971060.89496437</v>
      </c>
      <c r="CL349">
        <v>54560</v>
      </c>
      <c r="CM349" s="299">
        <v>2019</v>
      </c>
      <c r="CN349" s="299">
        <v>2670</v>
      </c>
      <c r="CO349" s="300" t="s">
        <v>257</v>
      </c>
      <c r="CP349" s="299">
        <v>755</v>
      </c>
      <c r="CQ349" s="299">
        <v>64</v>
      </c>
      <c r="CR349" s="294" t="s">
        <v>385</v>
      </c>
      <c r="CS349" s="294" t="s">
        <v>410</v>
      </c>
      <c r="CT349" s="294" t="s">
        <v>411</v>
      </c>
      <c r="CU349" s="301">
        <v>1881134000</v>
      </c>
      <c r="DC349">
        <f t="shared" si="129"/>
        <v>9</v>
      </c>
      <c r="DD349" s="630" t="s">
        <v>1643</v>
      </c>
      <c r="DE349" s="633">
        <v>2974.9052000001548</v>
      </c>
      <c r="DF349" s="634">
        <v>79257.742299999591</v>
      </c>
      <c r="DG349" s="603">
        <f t="shared" si="130"/>
        <v>26642.106881253043</v>
      </c>
      <c r="FH349">
        <v>28</v>
      </c>
      <c r="FI349" t="s">
        <v>851</v>
      </c>
      <c r="FJ349" t="s">
        <v>852</v>
      </c>
      <c r="FK349" t="s">
        <v>695</v>
      </c>
      <c r="FL349" s="286">
        <v>16520</v>
      </c>
      <c r="FM349" s="286">
        <v>1636200</v>
      </c>
      <c r="FN349" s="286">
        <v>81763361</v>
      </c>
      <c r="FO349" s="286">
        <v>37830264</v>
      </c>
      <c r="FP349">
        <v>20</v>
      </c>
      <c r="FQ349" s="925">
        <v>878.59703070032845</v>
      </c>
      <c r="FR349" s="926">
        <v>1437560461.6318774</v>
      </c>
      <c r="FS349">
        <v>0</v>
      </c>
    </row>
    <row r="350" spans="76:175">
      <c r="BX350" s="623"/>
      <c r="BY350" t="s">
        <v>1497</v>
      </c>
      <c r="BZ350" t="s">
        <v>1498</v>
      </c>
      <c r="CA350">
        <v>1</v>
      </c>
      <c r="CB350">
        <v>1</v>
      </c>
      <c r="CC350" t="s">
        <v>700</v>
      </c>
      <c r="CD350" s="286">
        <v>85040</v>
      </c>
      <c r="CE350" s="296">
        <v>813920</v>
      </c>
      <c r="CF350" s="261">
        <v>106904547</v>
      </c>
      <c r="CG350" s="261">
        <v>63347348</v>
      </c>
      <c r="CH350" s="202">
        <v>35</v>
      </c>
      <c r="CI350" s="261">
        <f t="shared" si="127"/>
        <v>17409.096095264758</v>
      </c>
      <c r="CJ350" s="261">
        <f t="shared" si="128"/>
        <v>14169611493.857893</v>
      </c>
      <c r="CL350">
        <v>354800</v>
      </c>
      <c r="CM350" s="299">
        <v>2019</v>
      </c>
      <c r="CN350" s="299">
        <v>2670</v>
      </c>
      <c r="CO350" s="300" t="s">
        <v>257</v>
      </c>
      <c r="CP350" s="299">
        <v>755</v>
      </c>
      <c r="CQ350" s="299">
        <v>65</v>
      </c>
      <c r="CR350" s="294" t="s">
        <v>385</v>
      </c>
      <c r="CS350" s="294" t="s">
        <v>412</v>
      </c>
      <c r="CT350" s="294" t="s">
        <v>387</v>
      </c>
      <c r="CU350" s="301">
        <v>0</v>
      </c>
      <c r="DC350">
        <f t="shared" si="129"/>
        <v>10</v>
      </c>
      <c r="DD350" s="630" t="s">
        <v>1644</v>
      </c>
      <c r="DE350" s="633">
        <v>39425.513299999169</v>
      </c>
      <c r="DF350" s="634">
        <v>7025.4973000000864</v>
      </c>
      <c r="DG350" s="603">
        <f t="shared" si="130"/>
        <v>178.19672369364523</v>
      </c>
      <c r="FH350">
        <v>28</v>
      </c>
      <c r="FI350" t="s">
        <v>1129</v>
      </c>
      <c r="FJ350" t="s">
        <v>1130</v>
      </c>
      <c r="FK350" t="s">
        <v>695</v>
      </c>
      <c r="FL350" s="286">
        <v>28936</v>
      </c>
      <c r="FM350" s="286">
        <v>2565720</v>
      </c>
      <c r="FN350" s="286">
        <v>215381739</v>
      </c>
      <c r="FO350" s="286">
        <v>33756000</v>
      </c>
      <c r="FP350">
        <v>20</v>
      </c>
      <c r="FQ350" s="925">
        <v>878.59703070032845</v>
      </c>
      <c r="FR350" s="926">
        <v>2254233973.6084466</v>
      </c>
      <c r="FS350">
        <v>0</v>
      </c>
    </row>
    <row r="351" spans="76:175">
      <c r="BX351" s="623"/>
      <c r="BY351" t="s">
        <v>1499</v>
      </c>
      <c r="BZ351" t="s">
        <v>1500</v>
      </c>
      <c r="CA351">
        <v>1</v>
      </c>
      <c r="CB351">
        <v>1</v>
      </c>
      <c r="CC351" t="s">
        <v>700</v>
      </c>
      <c r="CD351" s="286">
        <v>2800</v>
      </c>
      <c r="CE351" s="296">
        <v>26880</v>
      </c>
      <c r="CF351" s="261">
        <v>3478840</v>
      </c>
      <c r="CG351" s="261">
        <v>1976043</v>
      </c>
      <c r="CH351" s="202">
        <v>34</v>
      </c>
      <c r="CI351" s="261">
        <f t="shared" si="127"/>
        <v>8809.1513891176346</v>
      </c>
      <c r="CJ351" s="261">
        <f t="shared" si="128"/>
        <v>236789989.33948201</v>
      </c>
      <c r="CL351">
        <v>726400</v>
      </c>
      <c r="CM351" s="299">
        <v>2019</v>
      </c>
      <c r="CN351" s="299">
        <v>2670</v>
      </c>
      <c r="CO351" s="300" t="s">
        <v>257</v>
      </c>
      <c r="CP351" s="299">
        <v>755</v>
      </c>
      <c r="CQ351" s="299">
        <v>66</v>
      </c>
      <c r="CR351" s="294" t="s">
        <v>385</v>
      </c>
      <c r="CS351" s="294" t="s">
        <v>412</v>
      </c>
      <c r="CT351" s="294" t="s">
        <v>388</v>
      </c>
      <c r="CU351" s="301">
        <v>12144000</v>
      </c>
      <c r="DC351">
        <f t="shared" si="129"/>
        <v>11</v>
      </c>
      <c r="DD351" s="630" t="s">
        <v>1645</v>
      </c>
      <c r="DE351" s="633">
        <v>711636.29449998564</v>
      </c>
      <c r="DF351" s="634">
        <v>13110.399999999798</v>
      </c>
      <c r="DG351" s="603">
        <f t="shared" si="130"/>
        <v>18.422893971718388</v>
      </c>
      <c r="FH351">
        <v>28</v>
      </c>
      <c r="FI351" t="s">
        <v>1131</v>
      </c>
      <c r="FJ351" t="s">
        <v>1132</v>
      </c>
      <c r="FK351" t="s">
        <v>695</v>
      </c>
      <c r="FL351" s="286">
        <v>10012</v>
      </c>
      <c r="FM351" s="286">
        <v>809608</v>
      </c>
      <c r="FN351" s="286">
        <v>41756607</v>
      </c>
      <c r="FO351" s="286">
        <v>20379273</v>
      </c>
      <c r="FP351">
        <v>20</v>
      </c>
      <c r="FQ351" s="925">
        <v>878.59703070032845</v>
      </c>
      <c r="FR351" s="926">
        <v>711319184.83123147</v>
      </c>
      <c r="FS351">
        <v>0</v>
      </c>
    </row>
    <row r="352" spans="76:175">
      <c r="BX352" s="623"/>
      <c r="BY352" t="s">
        <v>1501</v>
      </c>
      <c r="BZ352" t="s">
        <v>1502</v>
      </c>
      <c r="CA352">
        <v>1</v>
      </c>
      <c r="CB352">
        <v>1</v>
      </c>
      <c r="CC352" t="s">
        <v>700</v>
      </c>
      <c r="CD352" s="286">
        <v>1120</v>
      </c>
      <c r="CE352" s="296">
        <v>8720</v>
      </c>
      <c r="CF352" s="261">
        <v>2838541</v>
      </c>
      <c r="CG352" s="261">
        <v>982439</v>
      </c>
      <c r="CH352" s="202">
        <v>34</v>
      </c>
      <c r="CI352" s="261">
        <f t="shared" si="127"/>
        <v>8809.1513891176346</v>
      </c>
      <c r="CJ352" s="261">
        <f t="shared" si="128"/>
        <v>76815800.113105774</v>
      </c>
      <c r="CL352">
        <v>78960</v>
      </c>
      <c r="CM352" s="299">
        <v>2019</v>
      </c>
      <c r="CN352" s="299">
        <v>2670</v>
      </c>
      <c r="CO352" s="300" t="s">
        <v>257</v>
      </c>
      <c r="CP352" s="299">
        <v>755</v>
      </c>
      <c r="CQ352" s="299">
        <v>67</v>
      </c>
      <c r="CR352" s="294" t="s">
        <v>385</v>
      </c>
      <c r="CS352" s="294" t="s">
        <v>412</v>
      </c>
      <c r="CT352" s="294" t="s">
        <v>389</v>
      </c>
      <c r="CU352" s="301">
        <v>43709000</v>
      </c>
      <c r="DC352">
        <f t="shared" si="129"/>
        <v>12</v>
      </c>
      <c r="DD352" s="630" t="s">
        <v>1646</v>
      </c>
      <c r="DE352" s="633">
        <v>1953003.0502000048</v>
      </c>
      <c r="DF352" s="634">
        <v>23726.313700000021</v>
      </c>
      <c r="DG352" s="603">
        <f t="shared" si="130"/>
        <v>12.148631154247422</v>
      </c>
      <c r="FH352">
        <v>28</v>
      </c>
      <c r="FI352" t="s">
        <v>1133</v>
      </c>
      <c r="FJ352" t="s">
        <v>1134</v>
      </c>
      <c r="FK352" t="s">
        <v>695</v>
      </c>
      <c r="FL352" s="286">
        <v>2440</v>
      </c>
      <c r="FM352" s="286">
        <v>236640</v>
      </c>
      <c r="FN352" s="286">
        <v>16210740</v>
      </c>
      <c r="FO352" s="286">
        <v>7106043.0000000009</v>
      </c>
      <c r="FP352">
        <v>20</v>
      </c>
      <c r="FQ352" s="925">
        <v>878.59703070032845</v>
      </c>
      <c r="FR352" s="926">
        <v>207911201.34492573</v>
      </c>
      <c r="FS352">
        <v>0</v>
      </c>
    </row>
    <row r="353" spans="76:175">
      <c r="BX353" s="623"/>
      <c r="BY353" t="s">
        <v>1503</v>
      </c>
      <c r="BZ353" t="s">
        <v>1504</v>
      </c>
      <c r="CA353">
        <v>1</v>
      </c>
      <c r="CB353">
        <v>1</v>
      </c>
      <c r="CC353" t="s">
        <v>700</v>
      </c>
      <c r="CD353" s="286">
        <v>5320</v>
      </c>
      <c r="CE353" s="296">
        <v>74200</v>
      </c>
      <c r="CF353" s="261">
        <v>5303040</v>
      </c>
      <c r="CG353" s="261">
        <v>4150301.9999999995</v>
      </c>
      <c r="CH353" s="202">
        <v>34</v>
      </c>
      <c r="CI353" s="261">
        <f t="shared" si="127"/>
        <v>8809.1513891176346</v>
      </c>
      <c r="CJ353" s="261">
        <f t="shared" si="128"/>
        <v>653639033.07252848</v>
      </c>
      <c r="CL353">
        <v>26560</v>
      </c>
      <c r="CM353" s="299">
        <v>2019</v>
      </c>
      <c r="CN353" s="299">
        <v>2670</v>
      </c>
      <c r="CO353" s="300" t="s">
        <v>257</v>
      </c>
      <c r="CP353" s="299">
        <v>755</v>
      </c>
      <c r="CQ353" s="299">
        <v>68</v>
      </c>
      <c r="CR353" s="294" t="s">
        <v>385</v>
      </c>
      <c r="CS353" s="294" t="s">
        <v>412</v>
      </c>
      <c r="CT353" s="294" t="s">
        <v>390</v>
      </c>
      <c r="CU353" s="301">
        <v>83397000</v>
      </c>
      <c r="DC353">
        <f t="shared" si="129"/>
        <v>13</v>
      </c>
      <c r="DD353" s="630" t="s">
        <v>1647</v>
      </c>
      <c r="DE353" s="633">
        <v>188477.92990001099</v>
      </c>
      <c r="DF353" s="634">
        <v>20033.910599999526</v>
      </c>
      <c r="DG353" s="603">
        <f t="shared" si="130"/>
        <v>106.2931379319991</v>
      </c>
      <c r="FH353">
        <v>28</v>
      </c>
      <c r="FI353" t="s">
        <v>1135</v>
      </c>
      <c r="FJ353" t="s">
        <v>1136</v>
      </c>
      <c r="FK353" t="s">
        <v>695</v>
      </c>
      <c r="FL353" s="286">
        <v>34076</v>
      </c>
      <c r="FM353" s="286">
        <v>2942208</v>
      </c>
      <c r="FN353" s="286">
        <v>117779939.00000001</v>
      </c>
      <c r="FO353" s="286">
        <v>51991273</v>
      </c>
      <c r="FP353">
        <v>20</v>
      </c>
      <c r="FQ353" s="925">
        <v>878.59703070032845</v>
      </c>
      <c r="FR353" s="926">
        <v>2585015212.5027518</v>
      </c>
      <c r="FS353">
        <v>0</v>
      </c>
    </row>
    <row r="354" spans="76:175">
      <c r="BX354" s="623"/>
      <c r="BY354" t="s">
        <v>1505</v>
      </c>
      <c r="BZ354" t="s">
        <v>1506</v>
      </c>
      <c r="CA354">
        <v>1</v>
      </c>
      <c r="CB354">
        <v>1</v>
      </c>
      <c r="CC354" t="s">
        <v>700</v>
      </c>
      <c r="CD354" s="286">
        <v>440</v>
      </c>
      <c r="CE354" s="296">
        <v>3240</v>
      </c>
      <c r="CF354" s="261">
        <v>550176</v>
      </c>
      <c r="CG354" s="261">
        <v>357629</v>
      </c>
      <c r="CH354" s="202">
        <v>34</v>
      </c>
      <c r="CI354" s="261">
        <f t="shared" si="127"/>
        <v>8809.1513891176346</v>
      </c>
      <c r="CJ354" s="261">
        <f t="shared" si="128"/>
        <v>28541650.500741135</v>
      </c>
      <c r="CL354">
        <v>813920</v>
      </c>
      <c r="CM354" s="299">
        <v>2019</v>
      </c>
      <c r="CN354" s="299">
        <v>2670</v>
      </c>
      <c r="CO354" s="300" t="s">
        <v>257</v>
      </c>
      <c r="CP354" s="299">
        <v>755</v>
      </c>
      <c r="CQ354" s="299">
        <v>69</v>
      </c>
      <c r="CR354" s="294" t="s">
        <v>385</v>
      </c>
      <c r="CS354" s="294" t="s">
        <v>412</v>
      </c>
      <c r="CT354" s="294" t="s">
        <v>391</v>
      </c>
      <c r="CU354" s="301">
        <v>23188000</v>
      </c>
      <c r="DC354">
        <f t="shared" si="129"/>
        <v>14</v>
      </c>
      <c r="DD354" s="630" t="s">
        <v>1648</v>
      </c>
      <c r="DE354" s="633">
        <v>101638.62279999981</v>
      </c>
      <c r="DF354" s="634">
        <v>21958.1018999999</v>
      </c>
      <c r="DG354" s="603">
        <f t="shared" si="130"/>
        <v>216.04092317551496</v>
      </c>
      <c r="FH354">
        <v>28</v>
      </c>
      <c r="FI354" t="s">
        <v>1137</v>
      </c>
      <c r="FJ354" t="s">
        <v>1138</v>
      </c>
      <c r="FK354" t="s">
        <v>695</v>
      </c>
      <c r="FL354" s="286">
        <v>17680</v>
      </c>
      <c r="FM354" s="286">
        <v>1562208</v>
      </c>
      <c r="FN354" s="286">
        <v>80752101</v>
      </c>
      <c r="FO354" s="286">
        <v>38743830</v>
      </c>
      <c r="FP354">
        <v>20</v>
      </c>
      <c r="FQ354" s="925">
        <v>878.59703070032845</v>
      </c>
      <c r="FR354" s="926">
        <v>1372551310.1362987</v>
      </c>
      <c r="FS354">
        <v>0</v>
      </c>
    </row>
    <row r="355" spans="76:175">
      <c r="BX355" s="623"/>
      <c r="BY355" t="s">
        <v>1507</v>
      </c>
      <c r="BZ355" t="s">
        <v>1508</v>
      </c>
      <c r="CA355">
        <v>1</v>
      </c>
      <c r="CB355">
        <v>1</v>
      </c>
      <c r="CC355" t="s">
        <v>700</v>
      </c>
      <c r="CD355" s="286">
        <v>9720</v>
      </c>
      <c r="CE355" s="296">
        <v>165120</v>
      </c>
      <c r="CF355" s="261">
        <v>13633713</v>
      </c>
      <c r="CG355" s="261">
        <v>7975298</v>
      </c>
      <c r="CH355" s="202">
        <v>35</v>
      </c>
      <c r="CI355" s="261">
        <f t="shared" si="127"/>
        <v>17409.096095264758</v>
      </c>
      <c r="CJ355" s="261">
        <f t="shared" si="128"/>
        <v>2874589947.2501168</v>
      </c>
      <c r="CL355">
        <v>26880</v>
      </c>
      <c r="CM355" s="299">
        <v>2019</v>
      </c>
      <c r="CN355" s="299">
        <v>2670</v>
      </c>
      <c r="CO355" s="300" t="s">
        <v>257</v>
      </c>
      <c r="CP355" s="299">
        <v>755</v>
      </c>
      <c r="CQ355" s="299">
        <v>70</v>
      </c>
      <c r="CR355" s="294" t="s">
        <v>385</v>
      </c>
      <c r="CS355" s="294" t="s">
        <v>412</v>
      </c>
      <c r="CT355" s="294" t="s">
        <v>392</v>
      </c>
      <c r="CU355" s="301">
        <v>349962000</v>
      </c>
      <c r="DC355">
        <f t="shared" si="129"/>
        <v>15</v>
      </c>
      <c r="DD355" s="630" t="s">
        <v>1649</v>
      </c>
      <c r="DE355" s="633">
        <v>830549.13979999395</v>
      </c>
      <c r="DF355" s="634">
        <v>35940.968599999898</v>
      </c>
      <c r="DG355" s="603">
        <f t="shared" si="130"/>
        <v>43.273741284778055</v>
      </c>
      <c r="FH355">
        <v>28</v>
      </c>
      <c r="FI355" t="s">
        <v>1139</v>
      </c>
      <c r="FJ355" t="s">
        <v>1140</v>
      </c>
      <c r="FK355" t="s">
        <v>695</v>
      </c>
      <c r="FL355" s="286">
        <v>54008</v>
      </c>
      <c r="FM355" s="286">
        <v>4890684</v>
      </c>
      <c r="FN355" s="286">
        <v>248507689</v>
      </c>
      <c r="FO355" s="286">
        <v>101388085</v>
      </c>
      <c r="FP355">
        <v>20</v>
      </c>
      <c r="FQ355" s="925">
        <v>878.59703070032845</v>
      </c>
      <c r="FR355" s="926">
        <v>4296940440.4936047</v>
      </c>
      <c r="FS355">
        <v>0</v>
      </c>
    </row>
    <row r="356" spans="76:175">
      <c r="BX356" s="623"/>
      <c r="BY356" t="s">
        <v>1509</v>
      </c>
      <c r="BZ356" t="s">
        <v>1510</v>
      </c>
      <c r="CA356">
        <v>1</v>
      </c>
      <c r="CB356">
        <v>1</v>
      </c>
      <c r="CC356" t="s">
        <v>700</v>
      </c>
      <c r="CD356" s="286">
        <v>3000</v>
      </c>
      <c r="CE356" s="296">
        <v>40400</v>
      </c>
      <c r="CF356" s="261">
        <v>4025549</v>
      </c>
      <c r="CG356" s="261">
        <v>2058575</v>
      </c>
      <c r="CH356" s="202">
        <v>35</v>
      </c>
      <c r="CI356" s="261">
        <f t="shared" si="127"/>
        <v>17409.096095264758</v>
      </c>
      <c r="CJ356" s="261">
        <f t="shared" si="128"/>
        <v>703327482.24869621</v>
      </c>
      <c r="CL356">
        <v>8720</v>
      </c>
      <c r="CM356" s="299">
        <v>2019</v>
      </c>
      <c r="CN356" s="299">
        <v>2670</v>
      </c>
      <c r="CO356" s="300" t="s">
        <v>257</v>
      </c>
      <c r="CP356" s="299">
        <v>755</v>
      </c>
      <c r="CQ356" s="299">
        <v>71</v>
      </c>
      <c r="CR356" s="294" t="s">
        <v>385</v>
      </c>
      <c r="CS356" s="294" t="s">
        <v>412</v>
      </c>
      <c r="CT356" s="294" t="s">
        <v>393</v>
      </c>
      <c r="CU356" s="301">
        <v>61864000</v>
      </c>
      <c r="DC356">
        <f t="shared" si="129"/>
        <v>16</v>
      </c>
      <c r="DD356" s="630" t="s">
        <v>1650</v>
      </c>
      <c r="DE356" s="633">
        <v>1037111.6399000008</v>
      </c>
      <c r="DF356" s="634">
        <v>331370.5656000005</v>
      </c>
      <c r="DG356" s="603">
        <f t="shared" si="130"/>
        <v>319.51291727084612</v>
      </c>
      <c r="FH356">
        <v>28</v>
      </c>
      <c r="FI356" t="s">
        <v>1141</v>
      </c>
      <c r="FJ356" t="s">
        <v>1140</v>
      </c>
      <c r="FK356" t="s">
        <v>695</v>
      </c>
      <c r="FL356" s="286">
        <v>1240</v>
      </c>
      <c r="FM356" s="286">
        <v>111360</v>
      </c>
      <c r="FN356" s="286">
        <v>4178240</v>
      </c>
      <c r="FO356" s="286">
        <v>1489857</v>
      </c>
      <c r="FP356">
        <v>20</v>
      </c>
      <c r="FQ356" s="925">
        <v>878.59703070032845</v>
      </c>
      <c r="FR356" s="926">
        <v>97840565.338788569</v>
      </c>
      <c r="FS356">
        <v>0</v>
      </c>
    </row>
    <row r="357" spans="76:175" ht="32">
      <c r="BX357" s="623"/>
      <c r="BY357" t="s">
        <v>1511</v>
      </c>
      <c r="BZ357" t="s">
        <v>1512</v>
      </c>
      <c r="CA357">
        <v>1</v>
      </c>
      <c r="CB357">
        <v>1</v>
      </c>
      <c r="CC357" t="s">
        <v>700</v>
      </c>
      <c r="CD357" s="286">
        <v>2520</v>
      </c>
      <c r="CE357" s="296">
        <v>28240</v>
      </c>
      <c r="CF357" s="261">
        <v>3652171</v>
      </c>
      <c r="CG357" s="261">
        <v>2088015</v>
      </c>
      <c r="CH357" s="202">
        <v>36</v>
      </c>
      <c r="CI357" s="261">
        <f t="shared" si="127"/>
        <v>7463.6077432689826</v>
      </c>
      <c r="CJ357" s="261">
        <f t="shared" si="128"/>
        <v>210772282.66991606</v>
      </c>
      <c r="CL357">
        <v>74200</v>
      </c>
      <c r="CM357" s="299">
        <v>2019</v>
      </c>
      <c r="CN357" s="299">
        <v>2670</v>
      </c>
      <c r="CO357" s="300" t="s">
        <v>257</v>
      </c>
      <c r="CP357" s="299">
        <v>755</v>
      </c>
      <c r="CQ357" s="299">
        <v>72</v>
      </c>
      <c r="CR357" s="294" t="s">
        <v>385</v>
      </c>
      <c r="CS357" s="294" t="s">
        <v>412</v>
      </c>
      <c r="CT357" s="294" t="s">
        <v>394</v>
      </c>
      <c r="CU357" s="301">
        <v>107275000</v>
      </c>
      <c r="DC357">
        <f t="shared" si="129"/>
        <v>17</v>
      </c>
      <c r="DD357" s="630" t="s">
        <v>1651</v>
      </c>
      <c r="DE357" s="633">
        <v>1206677.0879000004</v>
      </c>
      <c r="DF357" s="634">
        <v>626475.43929998844</v>
      </c>
      <c r="DG357" s="603">
        <f t="shared" si="130"/>
        <v>519.17405707126977</v>
      </c>
      <c r="FH357">
        <v>28</v>
      </c>
      <c r="FI357" t="s">
        <v>1142</v>
      </c>
      <c r="FJ357" t="s">
        <v>1143</v>
      </c>
      <c r="FK357" t="s">
        <v>695</v>
      </c>
      <c r="FL357" s="286">
        <v>4760</v>
      </c>
      <c r="FM357" s="286">
        <v>440440</v>
      </c>
      <c r="FN357" s="286">
        <v>28735340</v>
      </c>
      <c r="FO357" s="286">
        <v>9672603</v>
      </c>
      <c r="FP357" s="202">
        <v>20</v>
      </c>
      <c r="FQ357" s="925">
        <v>878.59703070032845</v>
      </c>
      <c r="FR357" s="926">
        <v>386969276.20165265</v>
      </c>
      <c r="FS357">
        <v>0</v>
      </c>
    </row>
    <row r="358" spans="76:175">
      <c r="BX358" s="623"/>
      <c r="BY358" t="s">
        <v>1513</v>
      </c>
      <c r="BZ358" t="s">
        <v>1514</v>
      </c>
      <c r="CA358">
        <v>1</v>
      </c>
      <c r="CB358">
        <v>1</v>
      </c>
      <c r="CC358" t="s">
        <v>700</v>
      </c>
      <c r="CD358" s="286">
        <v>20680</v>
      </c>
      <c r="CE358" s="296">
        <v>251960</v>
      </c>
      <c r="CF358" s="261">
        <v>28892739</v>
      </c>
      <c r="CG358" s="261">
        <v>14751925</v>
      </c>
      <c r="CH358" s="202">
        <v>36</v>
      </c>
      <c r="CI358" s="261">
        <f t="shared" si="127"/>
        <v>7463.6077432689826</v>
      </c>
      <c r="CJ358" s="261">
        <f t="shared" si="128"/>
        <v>1880530606.9940529</v>
      </c>
      <c r="CL358">
        <v>3240</v>
      </c>
      <c r="CM358" s="299">
        <v>2019</v>
      </c>
      <c r="CN358" s="299">
        <v>2670</v>
      </c>
      <c r="CO358" s="300" t="s">
        <v>257</v>
      </c>
      <c r="CP358" s="299">
        <v>755</v>
      </c>
      <c r="CQ358" s="299">
        <v>73</v>
      </c>
      <c r="CR358" s="294" t="s">
        <v>385</v>
      </c>
      <c r="CS358" s="294" t="s">
        <v>412</v>
      </c>
      <c r="CT358" s="294" t="s">
        <v>395</v>
      </c>
      <c r="CU358" s="301">
        <v>4545000</v>
      </c>
      <c r="DC358">
        <f t="shared" si="129"/>
        <v>18</v>
      </c>
      <c r="DD358" s="630" t="s">
        <v>1652</v>
      </c>
      <c r="DE358" s="633">
        <v>980284.55839997809</v>
      </c>
      <c r="DF358" s="634">
        <v>460545.70690000692</v>
      </c>
      <c r="DG358" s="603">
        <f t="shared" si="130"/>
        <v>469.80818268902482</v>
      </c>
      <c r="FH358">
        <v>28</v>
      </c>
      <c r="FI358" t="s">
        <v>975</v>
      </c>
      <c r="FJ358" t="s">
        <v>976</v>
      </c>
      <c r="FK358" t="s">
        <v>695</v>
      </c>
      <c r="FL358" s="286">
        <v>2800</v>
      </c>
      <c r="FM358" s="286">
        <v>255480.00000000003</v>
      </c>
      <c r="FN358" s="286">
        <v>12280653</v>
      </c>
      <c r="FO358" s="286">
        <v>5893045</v>
      </c>
      <c r="FP358">
        <v>20</v>
      </c>
      <c r="FQ358" s="925">
        <v>878.59703070032845</v>
      </c>
      <c r="FR358" s="926">
        <v>224463969.40331993</v>
      </c>
      <c r="FS358">
        <v>0</v>
      </c>
    </row>
    <row r="359" spans="76:175">
      <c r="BX359" s="623"/>
      <c r="BY359" t="s">
        <v>1515</v>
      </c>
      <c r="BZ359" t="s">
        <v>1516</v>
      </c>
      <c r="CA359">
        <v>1</v>
      </c>
      <c r="CB359">
        <v>1</v>
      </c>
      <c r="CC359" t="s">
        <v>700</v>
      </c>
      <c r="CD359" s="286">
        <v>5560</v>
      </c>
      <c r="CE359" s="296">
        <v>50720</v>
      </c>
      <c r="CF359" s="261">
        <v>5663102</v>
      </c>
      <c r="CG359" s="261">
        <v>2671834</v>
      </c>
      <c r="CH359" s="202">
        <v>34</v>
      </c>
      <c r="CI359" s="261">
        <f t="shared" si="127"/>
        <v>8809.1513891176346</v>
      </c>
      <c r="CJ359" s="261">
        <f t="shared" si="128"/>
        <v>446800158.4560464</v>
      </c>
      <c r="CL359">
        <v>165120</v>
      </c>
      <c r="CM359" s="299">
        <v>2019</v>
      </c>
      <c r="CN359" s="299">
        <v>2670</v>
      </c>
      <c r="CO359" s="300" t="s">
        <v>257</v>
      </c>
      <c r="CP359" s="299">
        <v>755</v>
      </c>
      <c r="CQ359" s="299">
        <v>74</v>
      </c>
      <c r="CR359" s="294" t="s">
        <v>385</v>
      </c>
      <c r="CS359" s="294" t="s">
        <v>412</v>
      </c>
      <c r="CT359" s="294" t="s">
        <v>396</v>
      </c>
      <c r="CU359" s="301">
        <v>3434000</v>
      </c>
      <c r="DC359">
        <f t="shared" si="129"/>
        <v>19</v>
      </c>
      <c r="DD359" s="630" t="s">
        <v>1653</v>
      </c>
      <c r="DE359" s="633">
        <v>2259194.6251999345</v>
      </c>
      <c r="DF359" s="634">
        <v>720353.16609998781</v>
      </c>
      <c r="DG359" s="603">
        <f t="shared" si="130"/>
        <v>318.85396595091396</v>
      </c>
      <c r="FH359">
        <v>28</v>
      </c>
      <c r="FI359" t="s">
        <v>977</v>
      </c>
      <c r="FJ359" t="s">
        <v>978</v>
      </c>
      <c r="FK359" t="s">
        <v>695</v>
      </c>
      <c r="FL359" s="286">
        <v>67840</v>
      </c>
      <c r="FM359" s="286">
        <v>6164580</v>
      </c>
      <c r="FN359" s="286">
        <v>283265172</v>
      </c>
      <c r="FO359" s="286">
        <v>135058659.99999997</v>
      </c>
      <c r="FP359">
        <v>20</v>
      </c>
      <c r="FQ359" s="925">
        <v>878.59703070032845</v>
      </c>
      <c r="FR359" s="926">
        <v>5416181683.5146303</v>
      </c>
      <c r="FS359">
        <v>0</v>
      </c>
    </row>
    <row r="360" spans="76:175">
      <c r="BX360" s="623"/>
      <c r="BY360" t="s">
        <v>1517</v>
      </c>
      <c r="BZ360" t="s">
        <v>1518</v>
      </c>
      <c r="CA360">
        <v>1</v>
      </c>
      <c r="CB360">
        <v>1</v>
      </c>
      <c r="CC360" t="s">
        <v>700</v>
      </c>
      <c r="CD360" s="286">
        <v>480</v>
      </c>
      <c r="CE360" s="296">
        <v>8600</v>
      </c>
      <c r="CF360" s="261">
        <v>295148</v>
      </c>
      <c r="CG360" s="261">
        <v>231541</v>
      </c>
      <c r="CH360" s="202">
        <v>36</v>
      </c>
      <c r="CI360" s="261">
        <f t="shared" si="127"/>
        <v>7463.6077432689826</v>
      </c>
      <c r="CJ360" s="261">
        <f t="shared" si="128"/>
        <v>64187026.592113249</v>
      </c>
      <c r="CL360">
        <v>40400</v>
      </c>
      <c r="CM360" s="299">
        <v>2019</v>
      </c>
      <c r="CN360" s="299">
        <v>2670</v>
      </c>
      <c r="CO360" s="300" t="s">
        <v>257</v>
      </c>
      <c r="CP360" s="299">
        <v>755</v>
      </c>
      <c r="CQ360" s="299">
        <v>75</v>
      </c>
      <c r="CR360" s="294" t="s">
        <v>385</v>
      </c>
      <c r="CS360" s="294" t="s">
        <v>412</v>
      </c>
      <c r="CT360" s="294" t="s">
        <v>397</v>
      </c>
      <c r="CU360" s="301">
        <v>29712000</v>
      </c>
      <c r="DC360">
        <f t="shared" si="129"/>
        <v>20</v>
      </c>
      <c r="DD360" s="630" t="s">
        <v>1654</v>
      </c>
      <c r="DE360" s="633">
        <v>361434.25530008244</v>
      </c>
      <c r="DF360" s="634">
        <v>317555.06350003683</v>
      </c>
      <c r="DG360" s="603">
        <f t="shared" si="130"/>
        <v>878.59703070032845</v>
      </c>
      <c r="FH360">
        <v>28</v>
      </c>
      <c r="FI360" t="s">
        <v>1144</v>
      </c>
      <c r="FJ360" t="s">
        <v>978</v>
      </c>
      <c r="FK360" t="s">
        <v>695</v>
      </c>
      <c r="FL360" s="286">
        <v>22836</v>
      </c>
      <c r="FM360" s="286">
        <v>1853952</v>
      </c>
      <c r="FN360" s="286">
        <v>139809950</v>
      </c>
      <c r="FO360" s="286">
        <v>33350265</v>
      </c>
      <c r="FP360">
        <v>20</v>
      </c>
      <c r="FQ360" s="925">
        <v>878.59703070032845</v>
      </c>
      <c r="FR360" s="926">
        <v>1628876722.2609353</v>
      </c>
      <c r="FS360">
        <v>0</v>
      </c>
    </row>
    <row r="361" spans="76:175">
      <c r="BX361" s="623"/>
      <c r="BY361" t="s">
        <v>1519</v>
      </c>
      <c r="BZ361" t="s">
        <v>1520</v>
      </c>
      <c r="CA361">
        <v>1</v>
      </c>
      <c r="CB361">
        <v>1</v>
      </c>
      <c r="CC361" t="s">
        <v>700</v>
      </c>
      <c r="CD361" s="286">
        <v>84000</v>
      </c>
      <c r="CE361" s="296">
        <v>772680</v>
      </c>
      <c r="CF361" s="261">
        <v>45326557</v>
      </c>
      <c r="CG361" s="261">
        <v>30807977</v>
      </c>
      <c r="CH361" s="202">
        <v>36</v>
      </c>
      <c r="CI361" s="261">
        <f t="shared" si="127"/>
        <v>7463.6077432689826</v>
      </c>
      <c r="CJ361" s="261">
        <f t="shared" si="128"/>
        <v>5766980431.0690775</v>
      </c>
      <c r="CL361">
        <v>28240</v>
      </c>
      <c r="CM361" s="299">
        <v>2019</v>
      </c>
      <c r="CN361" s="299">
        <v>2670</v>
      </c>
      <c r="CO361" s="300" t="s">
        <v>257</v>
      </c>
      <c r="CP361" s="299">
        <v>755</v>
      </c>
      <c r="CQ361" s="299">
        <v>76</v>
      </c>
      <c r="CR361" s="294" t="s">
        <v>385</v>
      </c>
      <c r="CS361" s="294" t="s">
        <v>412</v>
      </c>
      <c r="CT361" s="294" t="s">
        <v>398</v>
      </c>
      <c r="CU361" s="301">
        <v>160842000</v>
      </c>
      <c r="DC361">
        <f t="shared" si="129"/>
        <v>21</v>
      </c>
      <c r="DD361" s="630" t="s">
        <v>1655</v>
      </c>
      <c r="DE361" s="633">
        <v>22100.964300000243</v>
      </c>
      <c r="DF361" s="634">
        <v>1097251.8249999848</v>
      </c>
      <c r="DG361" s="603">
        <f t="shared" si="130"/>
        <v>49647.237564198629</v>
      </c>
      <c r="FH361">
        <v>28</v>
      </c>
      <c r="FI361" t="s">
        <v>979</v>
      </c>
      <c r="FJ361" t="s">
        <v>980</v>
      </c>
      <c r="FK361" t="s">
        <v>695</v>
      </c>
      <c r="FL361" s="286">
        <v>23980</v>
      </c>
      <c r="FM361" s="286">
        <v>2196587.9999999995</v>
      </c>
      <c r="FN361" s="286">
        <v>83821691</v>
      </c>
      <c r="FO361" s="286">
        <v>39782667</v>
      </c>
      <c r="FP361">
        <v>20</v>
      </c>
      <c r="FQ361" s="925">
        <v>878.59703070032845</v>
      </c>
      <c r="FR361" s="926">
        <v>1929915694.4719727</v>
      </c>
      <c r="FS361">
        <v>0</v>
      </c>
    </row>
    <row r="362" spans="76:175">
      <c r="BX362" s="623"/>
      <c r="BY362" t="s">
        <v>1521</v>
      </c>
      <c r="BZ362" t="s">
        <v>1522</v>
      </c>
      <c r="CA362">
        <v>1</v>
      </c>
      <c r="CB362">
        <v>1</v>
      </c>
      <c r="CC362" t="s">
        <v>700</v>
      </c>
      <c r="CD362" s="286">
        <v>4080</v>
      </c>
      <c r="CE362" s="296">
        <v>60600</v>
      </c>
      <c r="CF362" s="261">
        <v>3767239</v>
      </c>
      <c r="CG362" s="261">
        <v>2862057</v>
      </c>
      <c r="CH362" s="202">
        <v>36</v>
      </c>
      <c r="CI362" s="261">
        <f t="shared" si="127"/>
        <v>7463.6077432689826</v>
      </c>
      <c r="CJ362" s="261">
        <f t="shared" si="128"/>
        <v>452294629.24210036</v>
      </c>
      <c r="CL362">
        <v>251960</v>
      </c>
      <c r="CM362" s="299">
        <v>2019</v>
      </c>
      <c r="CN362" s="299">
        <v>2670</v>
      </c>
      <c r="CO362" s="300" t="s">
        <v>257</v>
      </c>
      <c r="CP362" s="299">
        <v>755</v>
      </c>
      <c r="CQ362" s="299">
        <v>77</v>
      </c>
      <c r="CR362" s="294" t="s">
        <v>385</v>
      </c>
      <c r="CS362" s="294" t="s">
        <v>412</v>
      </c>
      <c r="CT362" s="294" t="s">
        <v>399</v>
      </c>
      <c r="CU362" s="301">
        <v>0</v>
      </c>
      <c r="DC362">
        <f t="shared" si="129"/>
        <v>22</v>
      </c>
      <c r="DD362" s="630" t="s">
        <v>1656</v>
      </c>
      <c r="DE362" s="633">
        <v>161410.53320001671</v>
      </c>
      <c r="DF362" s="634">
        <v>56176.951899996609</v>
      </c>
      <c r="DG362" s="603">
        <f t="shared" si="130"/>
        <v>348.03770724419365</v>
      </c>
      <c r="FH362">
        <v>28</v>
      </c>
      <c r="FI362" t="s">
        <v>1147</v>
      </c>
      <c r="FJ362" t="s">
        <v>1148</v>
      </c>
      <c r="FK362" t="s">
        <v>695</v>
      </c>
      <c r="FL362" s="286">
        <v>58664</v>
      </c>
      <c r="FM362" s="286">
        <v>5472675.9999999991</v>
      </c>
      <c r="FN362" s="286">
        <v>243126948</v>
      </c>
      <c r="FO362" s="286">
        <v>117851188</v>
      </c>
      <c r="FP362">
        <v>20</v>
      </c>
      <c r="FQ362" s="925">
        <v>878.59703070032845</v>
      </c>
      <c r="FR362" s="926">
        <v>4808276883.5849495</v>
      </c>
      <c r="FS362">
        <v>0</v>
      </c>
    </row>
    <row r="363" spans="76:175" ht="32">
      <c r="BX363" s="623"/>
      <c r="BY363" t="s">
        <v>881</v>
      </c>
      <c r="BZ363" t="s">
        <v>882</v>
      </c>
      <c r="CA363">
        <v>1</v>
      </c>
      <c r="CB363">
        <v>1</v>
      </c>
      <c r="CC363" t="s">
        <v>700</v>
      </c>
      <c r="CD363" s="286">
        <v>332120</v>
      </c>
      <c r="CE363" s="296">
        <v>3922320</v>
      </c>
      <c r="CF363" s="261">
        <v>426939010</v>
      </c>
      <c r="CG363" s="261">
        <v>225711115</v>
      </c>
      <c r="CH363" s="202">
        <v>36</v>
      </c>
      <c r="CI363" s="261">
        <f t="shared" si="127"/>
        <v>7463.6077432689826</v>
      </c>
      <c r="CJ363" s="261">
        <f t="shared" si="128"/>
        <v>29274657923.578796</v>
      </c>
      <c r="CL363">
        <v>50720</v>
      </c>
      <c r="CM363" s="299">
        <v>2019</v>
      </c>
      <c r="CN363" s="299">
        <v>2670</v>
      </c>
      <c r="CO363" s="300" t="s">
        <v>257</v>
      </c>
      <c r="CP363" s="299">
        <v>755</v>
      </c>
      <c r="CQ363" s="299">
        <v>78</v>
      </c>
      <c r="CR363" s="294" t="s">
        <v>385</v>
      </c>
      <c r="CS363" s="294" t="s">
        <v>412</v>
      </c>
      <c r="CT363" s="294" t="s">
        <v>400</v>
      </c>
      <c r="CU363" s="301">
        <v>57521000</v>
      </c>
      <c r="DC363">
        <f t="shared" si="129"/>
        <v>23</v>
      </c>
      <c r="DD363" s="630" t="s">
        <v>1657</v>
      </c>
      <c r="DE363" s="633">
        <v>125685.14070000437</v>
      </c>
      <c r="DF363" s="634">
        <v>392067.45200004982</v>
      </c>
      <c r="DG363" s="603">
        <f t="shared" si="130"/>
        <v>3119.4415649807693</v>
      </c>
      <c r="FH363">
        <v>28</v>
      </c>
      <c r="FI363" t="s">
        <v>981</v>
      </c>
      <c r="FJ363" t="s">
        <v>982</v>
      </c>
      <c r="FK363" t="s">
        <v>695</v>
      </c>
      <c r="FL363" s="286">
        <v>28120</v>
      </c>
      <c r="FM363" s="286">
        <v>2577600</v>
      </c>
      <c r="FN363" s="286">
        <v>105711834</v>
      </c>
      <c r="FO363" s="286">
        <v>56506187.000000007</v>
      </c>
      <c r="FP363">
        <v>20</v>
      </c>
      <c r="FQ363" s="925">
        <v>878.59703070032845</v>
      </c>
      <c r="FR363" s="926">
        <v>2264671706.3331666</v>
      </c>
      <c r="FS363">
        <v>0</v>
      </c>
    </row>
    <row r="364" spans="76:175">
      <c r="BX364" s="623"/>
      <c r="BY364" t="s">
        <v>1523</v>
      </c>
      <c r="BZ364" t="s">
        <v>1524</v>
      </c>
      <c r="CA364">
        <v>1</v>
      </c>
      <c r="CB364">
        <v>1</v>
      </c>
      <c r="CC364" t="s">
        <v>700</v>
      </c>
      <c r="CD364" s="286">
        <v>3240</v>
      </c>
      <c r="CE364" s="296">
        <v>58760</v>
      </c>
      <c r="CF364" s="261">
        <v>4189660</v>
      </c>
      <c r="CG364" s="261">
        <v>2872774</v>
      </c>
      <c r="CH364" s="202">
        <v>37</v>
      </c>
      <c r="CI364" s="261">
        <f t="shared" si="127"/>
        <v>21849.362803561351</v>
      </c>
      <c r="CJ364" s="261">
        <f t="shared" si="128"/>
        <v>1283868558.337265</v>
      </c>
      <c r="CL364">
        <v>8600</v>
      </c>
      <c r="CM364" s="299">
        <v>2019</v>
      </c>
      <c r="CN364" s="299">
        <v>2670</v>
      </c>
      <c r="CO364" s="300" t="s">
        <v>257</v>
      </c>
      <c r="CP364" s="299">
        <v>755</v>
      </c>
      <c r="CQ364" s="299">
        <v>79</v>
      </c>
      <c r="CR364" s="294" t="s">
        <v>385</v>
      </c>
      <c r="CS364" s="294" t="s">
        <v>412</v>
      </c>
      <c r="CT364" s="294" t="s">
        <v>408</v>
      </c>
      <c r="CU364" s="301">
        <v>105056000</v>
      </c>
      <c r="DC364">
        <f t="shared" si="129"/>
        <v>24</v>
      </c>
      <c r="DD364" s="630" t="s">
        <v>1658</v>
      </c>
      <c r="DE364" s="633">
        <v>247031.58310008331</v>
      </c>
      <c r="DF364" s="634">
        <v>689474.86879988189</v>
      </c>
      <c r="DG364" s="603">
        <f t="shared" si="130"/>
        <v>2791.0393486833841</v>
      </c>
      <c r="FH364">
        <v>28</v>
      </c>
      <c r="FI364" t="s">
        <v>1149</v>
      </c>
      <c r="FJ364" t="s">
        <v>1150</v>
      </c>
      <c r="FK364" t="s">
        <v>695</v>
      </c>
      <c r="FL364" s="286">
        <v>400</v>
      </c>
      <c r="FM364" s="286">
        <v>36800</v>
      </c>
      <c r="FN364" s="286">
        <v>2086800.0000000002</v>
      </c>
      <c r="FO364" s="286">
        <v>813504</v>
      </c>
      <c r="FP364">
        <v>20</v>
      </c>
      <c r="FQ364" s="925">
        <v>878.59703070032845</v>
      </c>
      <c r="FR364" s="926">
        <v>32332370.729772087</v>
      </c>
      <c r="FS364">
        <v>0</v>
      </c>
    </row>
    <row r="365" spans="76:175">
      <c r="BX365" s="623"/>
      <c r="BY365" t="s">
        <v>1525</v>
      </c>
      <c r="BZ365" t="s">
        <v>1526</v>
      </c>
      <c r="CA365">
        <v>1</v>
      </c>
      <c r="CB365">
        <v>1</v>
      </c>
      <c r="CC365" t="s">
        <v>700</v>
      </c>
      <c r="CD365" s="286">
        <v>3840</v>
      </c>
      <c r="CE365" s="296">
        <v>49680</v>
      </c>
      <c r="CF365" s="261">
        <v>5759385</v>
      </c>
      <c r="CG365" s="261">
        <v>3193251</v>
      </c>
      <c r="CH365" s="202">
        <v>36</v>
      </c>
      <c r="CI365" s="261">
        <f t="shared" si="127"/>
        <v>7463.6077432689826</v>
      </c>
      <c r="CJ365" s="261">
        <f t="shared" si="128"/>
        <v>370792032.68560308</v>
      </c>
      <c r="CL365">
        <v>772680</v>
      </c>
      <c r="CM365" s="299">
        <v>2019</v>
      </c>
      <c r="CN365" s="299">
        <v>2670</v>
      </c>
      <c r="CO365" s="300" t="s">
        <v>257</v>
      </c>
      <c r="CP365" s="299">
        <v>755</v>
      </c>
      <c r="CQ365" s="299">
        <v>80</v>
      </c>
      <c r="CR365" s="294" t="s">
        <v>385</v>
      </c>
      <c r="CS365" s="294" t="s">
        <v>412</v>
      </c>
      <c r="CT365" s="294" t="s">
        <v>409</v>
      </c>
      <c r="CU365" s="301">
        <v>295185000</v>
      </c>
      <c r="DC365">
        <f t="shared" si="129"/>
        <v>25</v>
      </c>
      <c r="DD365" s="630" t="s">
        <v>1659</v>
      </c>
      <c r="DE365" s="633">
        <v>322918.23350001249</v>
      </c>
      <c r="DF365" s="634">
        <v>18135.730499999794</v>
      </c>
      <c r="DG365" s="603">
        <f t="shared" si="130"/>
        <v>56.161989688324894</v>
      </c>
      <c r="FH365">
        <v>28</v>
      </c>
      <c r="FI365" t="s">
        <v>1151</v>
      </c>
      <c r="FJ365" t="s">
        <v>976</v>
      </c>
      <c r="FK365" t="s">
        <v>695</v>
      </c>
      <c r="FL365" s="286">
        <v>7600</v>
      </c>
      <c r="FM365" s="286">
        <v>673360</v>
      </c>
      <c r="FN365" s="286">
        <v>38362750</v>
      </c>
      <c r="FO365" s="286">
        <v>17207987.999999996</v>
      </c>
      <c r="FP365">
        <v>20</v>
      </c>
      <c r="FQ365" s="925">
        <v>878.59703070032845</v>
      </c>
      <c r="FR365" s="926">
        <v>591612096.59237313</v>
      </c>
      <c r="FS365">
        <v>0</v>
      </c>
    </row>
    <row r="366" spans="76:175">
      <c r="BX366" s="623"/>
      <c r="BY366" t="s">
        <v>1527</v>
      </c>
      <c r="BZ366" t="s">
        <v>1528</v>
      </c>
      <c r="CA366">
        <v>1</v>
      </c>
      <c r="CB366">
        <v>1</v>
      </c>
      <c r="CC366" t="s">
        <v>700</v>
      </c>
      <c r="CD366" s="286">
        <v>1960</v>
      </c>
      <c r="CE366" s="296">
        <v>13360</v>
      </c>
      <c r="CF366" s="261">
        <v>1670721</v>
      </c>
      <c r="CG366" s="261">
        <v>1139171</v>
      </c>
      <c r="CH366" s="202">
        <v>36</v>
      </c>
      <c r="CI366" s="261">
        <f t="shared" si="127"/>
        <v>7463.6077432689826</v>
      </c>
      <c r="CJ366" s="261">
        <f t="shared" si="128"/>
        <v>99713799.450073615</v>
      </c>
      <c r="CL366">
        <v>60600</v>
      </c>
      <c r="CM366" s="299">
        <v>2019</v>
      </c>
      <c r="CN366" s="299">
        <v>2670</v>
      </c>
      <c r="CO366" s="300" t="s">
        <v>257</v>
      </c>
      <c r="CP366" s="299">
        <v>755</v>
      </c>
      <c r="CQ366" s="299">
        <v>81</v>
      </c>
      <c r="CR366" s="294" t="s">
        <v>385</v>
      </c>
      <c r="CS366" s="294" t="s">
        <v>413</v>
      </c>
      <c r="CT366" s="294" t="s">
        <v>402</v>
      </c>
      <c r="CU366" s="301">
        <v>6596000</v>
      </c>
      <c r="DC366">
        <f t="shared" si="129"/>
        <v>26</v>
      </c>
      <c r="DD366" s="630" t="s">
        <v>1660</v>
      </c>
      <c r="DE366" s="633">
        <v>428029.95520006429</v>
      </c>
      <c r="DF366" s="634">
        <v>226169.07300002582</v>
      </c>
      <c r="DG366" s="603">
        <f t="shared" si="130"/>
        <v>528.3954317970871</v>
      </c>
      <c r="FH366">
        <v>28</v>
      </c>
      <c r="FI366" t="s">
        <v>983</v>
      </c>
      <c r="FJ366" t="s">
        <v>984</v>
      </c>
      <c r="FK366" t="s">
        <v>695</v>
      </c>
      <c r="FL366" s="286">
        <v>5844</v>
      </c>
      <c r="FM366" s="286">
        <v>570531.99999999988</v>
      </c>
      <c r="FN366" s="286">
        <v>25620701</v>
      </c>
      <c r="FO366" s="286">
        <v>12647304</v>
      </c>
      <c r="FP366">
        <v>20</v>
      </c>
      <c r="FQ366" s="925">
        <v>878.59703070032845</v>
      </c>
      <c r="FR366" s="926">
        <v>501267721.11951971</v>
      </c>
      <c r="FS366">
        <v>0</v>
      </c>
    </row>
    <row r="367" spans="76:175">
      <c r="BX367" s="623"/>
      <c r="BY367" t="s">
        <v>1529</v>
      </c>
      <c r="BZ367" t="s">
        <v>1530</v>
      </c>
      <c r="CA367">
        <v>1</v>
      </c>
      <c r="CB367">
        <v>1</v>
      </c>
      <c r="CC367" t="s">
        <v>700</v>
      </c>
      <c r="CD367" s="286">
        <v>22640</v>
      </c>
      <c r="CE367" s="296">
        <v>308520</v>
      </c>
      <c r="CF367" s="261">
        <v>24088483</v>
      </c>
      <c r="CG367" s="261">
        <v>18468209</v>
      </c>
      <c r="CH367" s="202">
        <v>36</v>
      </c>
      <c r="CI367" s="261">
        <f t="shared" si="127"/>
        <v>7463.6077432689826</v>
      </c>
      <c r="CJ367" s="261">
        <f t="shared" si="128"/>
        <v>2302672260.9533467</v>
      </c>
      <c r="CL367">
        <v>3922320</v>
      </c>
      <c r="CM367" s="299">
        <v>2019</v>
      </c>
      <c r="CN367" s="299">
        <v>2670</v>
      </c>
      <c r="CO367" s="300" t="s">
        <v>257</v>
      </c>
      <c r="CP367" s="299">
        <v>755</v>
      </c>
      <c r="CQ367" s="299">
        <v>82</v>
      </c>
      <c r="CR367" s="294" t="s">
        <v>385</v>
      </c>
      <c r="CS367" s="294" t="s">
        <v>413</v>
      </c>
      <c r="CT367" s="294" t="s">
        <v>414</v>
      </c>
      <c r="CU367" s="301">
        <v>1344430000</v>
      </c>
      <c r="DC367">
        <f t="shared" si="129"/>
        <v>27</v>
      </c>
      <c r="DD367" s="630" t="s">
        <v>1661</v>
      </c>
      <c r="DE367" s="633">
        <v>171063.50130002404</v>
      </c>
      <c r="DF367" s="634">
        <v>168560.96430002418</v>
      </c>
      <c r="DG367" s="603">
        <f t="shared" si="130"/>
        <v>985.37071332586186</v>
      </c>
      <c r="FH367">
        <v>28</v>
      </c>
      <c r="FI367" t="s">
        <v>1152</v>
      </c>
      <c r="FJ367" t="s">
        <v>1153</v>
      </c>
      <c r="FK367" t="s">
        <v>695</v>
      </c>
      <c r="FL367" s="286">
        <v>1860</v>
      </c>
      <c r="FM367" s="286">
        <v>183308</v>
      </c>
      <c r="FN367" s="286">
        <v>7912948</v>
      </c>
      <c r="FO367" s="286">
        <v>3827279.9999999995</v>
      </c>
      <c r="FP367">
        <v>20</v>
      </c>
      <c r="FQ367" s="925">
        <v>878.59703070032845</v>
      </c>
      <c r="FR367" s="926">
        <v>161053864.5036158</v>
      </c>
      <c r="FS367">
        <v>0</v>
      </c>
    </row>
    <row r="368" spans="76:175">
      <c r="BX368" s="623"/>
      <c r="BY368" t="s">
        <v>1531</v>
      </c>
      <c r="BZ368" t="s">
        <v>1532</v>
      </c>
      <c r="CA368">
        <v>1</v>
      </c>
      <c r="CB368">
        <v>1</v>
      </c>
      <c r="CC368" t="s">
        <v>700</v>
      </c>
      <c r="CD368" s="286">
        <v>5640</v>
      </c>
      <c r="CE368" s="296">
        <v>58560</v>
      </c>
      <c r="CF368" s="261">
        <v>7016220</v>
      </c>
      <c r="CG368" s="261">
        <v>4013230</v>
      </c>
      <c r="CH368" s="202">
        <v>38</v>
      </c>
      <c r="CI368" s="261">
        <f t="shared" si="127"/>
        <v>30716.159335894004</v>
      </c>
      <c r="CJ368" s="261">
        <f t="shared" si="128"/>
        <v>1798738290.7099528</v>
      </c>
      <c r="CL368">
        <v>58760</v>
      </c>
      <c r="CM368" s="299">
        <v>2019</v>
      </c>
      <c r="CN368" s="299">
        <v>2670</v>
      </c>
      <c r="CO368" s="300" t="s">
        <v>257</v>
      </c>
      <c r="CP368" s="299">
        <v>755</v>
      </c>
      <c r="CQ368" s="299">
        <v>83</v>
      </c>
      <c r="CR368" s="294" t="s">
        <v>377</v>
      </c>
      <c r="CS368" s="294" t="s">
        <v>378</v>
      </c>
      <c r="CT368" s="294" t="s">
        <v>415</v>
      </c>
      <c r="CU368" s="301">
        <v>49702000</v>
      </c>
      <c r="DC368">
        <f t="shared" si="129"/>
        <v>28</v>
      </c>
      <c r="DD368" s="630" t="s">
        <v>1662</v>
      </c>
      <c r="DE368" s="633">
        <v>82349.941299999162</v>
      </c>
      <c r="DF368" s="634">
        <v>138973.12070002858</v>
      </c>
      <c r="DG368" s="603">
        <f t="shared" si="130"/>
        <v>1687.5922254000438</v>
      </c>
      <c r="FH368">
        <v>28</v>
      </c>
      <c r="FI368" t="s">
        <v>1154</v>
      </c>
      <c r="FJ368" t="s">
        <v>1155</v>
      </c>
      <c r="FK368" t="s">
        <v>695</v>
      </c>
      <c r="FL368" s="286">
        <v>76996</v>
      </c>
      <c r="FM368" s="286">
        <v>7550739</v>
      </c>
      <c r="FN368" s="286">
        <v>228482115</v>
      </c>
      <c r="FO368" s="286">
        <v>101238307</v>
      </c>
      <c r="FP368">
        <v>20</v>
      </c>
      <c r="FQ368" s="925">
        <v>878.59703070032845</v>
      </c>
      <c r="FR368" s="926">
        <v>6634056864.9931669</v>
      </c>
      <c r="FS368">
        <v>0</v>
      </c>
    </row>
    <row r="369" spans="76:175">
      <c r="BX369" s="623"/>
      <c r="BY369" t="s">
        <v>1533</v>
      </c>
      <c r="BZ369" t="s">
        <v>1534</v>
      </c>
      <c r="CA369">
        <v>1</v>
      </c>
      <c r="CB369">
        <v>1</v>
      </c>
      <c r="CC369" t="s">
        <v>700</v>
      </c>
      <c r="CD369" s="286">
        <v>5080</v>
      </c>
      <c r="CE369" s="296">
        <v>58320</v>
      </c>
      <c r="CF369" s="261">
        <v>5260799</v>
      </c>
      <c r="CG369" s="261">
        <v>3363142</v>
      </c>
      <c r="CH369" s="202">
        <v>38</v>
      </c>
      <c r="CI369" s="261">
        <f t="shared" si="127"/>
        <v>30716.159335894004</v>
      </c>
      <c r="CJ369" s="261">
        <f t="shared" si="128"/>
        <v>1791366412.4693384</v>
      </c>
      <c r="CL369">
        <v>49680</v>
      </c>
      <c r="CM369" s="299">
        <v>2019</v>
      </c>
      <c r="CN369" s="299">
        <v>2670</v>
      </c>
      <c r="CO369" s="300" t="s">
        <v>257</v>
      </c>
      <c r="CP369" s="299">
        <v>755</v>
      </c>
      <c r="CQ369" s="299">
        <v>84</v>
      </c>
      <c r="CR369" s="294" t="s">
        <v>377</v>
      </c>
      <c r="CS369" s="294" t="s">
        <v>378</v>
      </c>
      <c r="CT369" s="294" t="s">
        <v>416</v>
      </c>
      <c r="CU369" s="301">
        <v>0</v>
      </c>
      <c r="DC369">
        <f t="shared" si="129"/>
        <v>29</v>
      </c>
      <c r="DD369" s="630" t="s">
        <v>1663</v>
      </c>
      <c r="DE369" s="633">
        <v>35013.18629999346</v>
      </c>
      <c r="DF369" s="634">
        <v>126429.36649999808</v>
      </c>
      <c r="DG369" s="603">
        <f t="shared" si="130"/>
        <v>3610.9071998403551</v>
      </c>
      <c r="FH369">
        <v>28</v>
      </c>
      <c r="FI369" t="s">
        <v>985</v>
      </c>
      <c r="FJ369" t="s">
        <v>986</v>
      </c>
      <c r="FK369" t="s">
        <v>695</v>
      </c>
      <c r="FL369" s="286">
        <v>51396</v>
      </c>
      <c r="FM369" s="286">
        <v>4954912</v>
      </c>
      <c r="FN369" s="286">
        <v>240568781</v>
      </c>
      <c r="FO369" s="286">
        <v>102275727</v>
      </c>
      <c r="FP369">
        <v>20</v>
      </c>
      <c r="FQ369" s="925">
        <v>878.59703070032845</v>
      </c>
      <c r="FR369" s="926">
        <v>4353370970.5814257</v>
      </c>
      <c r="FS369">
        <v>0</v>
      </c>
    </row>
    <row r="370" spans="76:175">
      <c r="BX370" s="623"/>
      <c r="BY370" t="s">
        <v>1535</v>
      </c>
      <c r="BZ370" t="s">
        <v>1536</v>
      </c>
      <c r="CA370">
        <v>1</v>
      </c>
      <c r="CB370">
        <v>1</v>
      </c>
      <c r="CC370" t="s">
        <v>700</v>
      </c>
      <c r="CD370" s="286">
        <v>9760</v>
      </c>
      <c r="CE370" s="296">
        <v>81600</v>
      </c>
      <c r="CF370" s="261">
        <v>11679934</v>
      </c>
      <c r="CG370" s="261">
        <v>6869543</v>
      </c>
      <c r="CH370" s="202">
        <v>40</v>
      </c>
      <c r="CI370" s="261">
        <f t="shared" si="127"/>
        <v>7527.5208983860784</v>
      </c>
      <c r="CJ370" s="261">
        <f t="shared" si="128"/>
        <v>614245705.30830395</v>
      </c>
      <c r="CL370">
        <v>13360</v>
      </c>
      <c r="CM370" s="299">
        <v>2019</v>
      </c>
      <c r="CN370" s="299">
        <v>2670</v>
      </c>
      <c r="CO370" s="300" t="s">
        <v>257</v>
      </c>
      <c r="CP370" s="299">
        <v>755</v>
      </c>
      <c r="CQ370" s="299">
        <v>85</v>
      </c>
      <c r="CR370" s="294" t="s">
        <v>339</v>
      </c>
      <c r="CS370" s="294" t="s">
        <v>340</v>
      </c>
      <c r="CT370" s="294" t="s">
        <v>322</v>
      </c>
      <c r="CU370" s="301">
        <v>1212052000</v>
      </c>
      <c r="DC370">
        <f t="shared" si="129"/>
        <v>30</v>
      </c>
      <c r="DD370" s="630" t="s">
        <v>1664</v>
      </c>
      <c r="DE370" s="633">
        <v>66690.583399998257</v>
      </c>
      <c r="DF370" s="634">
        <v>623900.43469990767</v>
      </c>
      <c r="DG370" s="603">
        <f t="shared" si="130"/>
        <v>9355.1503509553058</v>
      </c>
      <c r="FH370">
        <v>28</v>
      </c>
      <c r="FI370" t="s">
        <v>1156</v>
      </c>
      <c r="FJ370" t="s">
        <v>1157</v>
      </c>
      <c r="FK370" t="s">
        <v>695</v>
      </c>
      <c r="FL370" s="286">
        <v>7648</v>
      </c>
      <c r="FM370" s="286">
        <v>750124</v>
      </c>
      <c r="FN370" s="286">
        <v>31903944</v>
      </c>
      <c r="FO370" s="286">
        <v>14049337</v>
      </c>
      <c r="FP370">
        <v>20</v>
      </c>
      <c r="FQ370" s="925">
        <v>878.59703070032845</v>
      </c>
      <c r="FR370" s="926">
        <v>659056719.05705321</v>
      </c>
      <c r="FS370">
        <v>0</v>
      </c>
    </row>
    <row r="371" spans="76:175">
      <c r="BX371" s="623"/>
      <c r="BY371" t="s">
        <v>1537</v>
      </c>
      <c r="BZ371" t="s">
        <v>1538</v>
      </c>
      <c r="CA371">
        <v>1</v>
      </c>
      <c r="CB371">
        <v>1</v>
      </c>
      <c r="CC371" t="s">
        <v>700</v>
      </c>
      <c r="CD371" s="286">
        <v>200</v>
      </c>
      <c r="CE371" s="296">
        <v>1280</v>
      </c>
      <c r="CF371" s="261">
        <v>261658.00000000003</v>
      </c>
      <c r="CG371" s="261">
        <v>117900</v>
      </c>
      <c r="CH371" s="202">
        <v>40</v>
      </c>
      <c r="CI371" s="261">
        <f t="shared" si="127"/>
        <v>7527.5208983860784</v>
      </c>
      <c r="CJ371" s="261">
        <f t="shared" si="128"/>
        <v>9635226.7499341797</v>
      </c>
      <c r="CL371">
        <v>308520</v>
      </c>
      <c r="CM371" s="299">
        <v>2019</v>
      </c>
      <c r="CN371" s="299">
        <v>2670</v>
      </c>
      <c r="CO371" s="300" t="s">
        <v>257</v>
      </c>
      <c r="CP371" s="299">
        <v>755</v>
      </c>
      <c r="CQ371" s="299">
        <v>86</v>
      </c>
      <c r="CR371" s="294" t="s">
        <v>339</v>
      </c>
      <c r="CS371" s="294" t="s">
        <v>340</v>
      </c>
      <c r="CT371" s="294" t="s">
        <v>323</v>
      </c>
      <c r="CU371" s="301">
        <v>466153000</v>
      </c>
      <c r="DC371">
        <f t="shared" si="129"/>
        <v>31</v>
      </c>
      <c r="DD371" s="630" t="s">
        <v>1665</v>
      </c>
      <c r="DE371" s="633">
        <v>1103261.0642999874</v>
      </c>
      <c r="DF371" s="634">
        <v>280640.30000005808</v>
      </c>
      <c r="DG371" s="603">
        <f t="shared" si="130"/>
        <v>254.37342899264078</v>
      </c>
      <c r="FH371">
        <v>28</v>
      </c>
      <c r="FI371" t="s">
        <v>1158</v>
      </c>
      <c r="FJ371" t="s">
        <v>1159</v>
      </c>
      <c r="FK371" t="s">
        <v>695</v>
      </c>
      <c r="FL371" s="286">
        <v>840</v>
      </c>
      <c r="FM371" s="286">
        <v>80480</v>
      </c>
      <c r="FN371" s="286">
        <v>3550520</v>
      </c>
      <c r="FO371" s="286">
        <v>1201537</v>
      </c>
      <c r="FP371">
        <v>20</v>
      </c>
      <c r="FQ371" s="925">
        <v>878.59703070032845</v>
      </c>
      <c r="FR371" s="926">
        <v>70709489.030762434</v>
      </c>
      <c r="FS371">
        <v>0</v>
      </c>
    </row>
    <row r="372" spans="76:175">
      <c r="BX372" s="623"/>
      <c r="BY372" t="s">
        <v>1539</v>
      </c>
      <c r="BZ372" t="s">
        <v>1540</v>
      </c>
      <c r="CA372">
        <v>1</v>
      </c>
      <c r="CB372">
        <v>1</v>
      </c>
      <c r="CC372" t="s">
        <v>700</v>
      </c>
      <c r="CD372" s="286">
        <v>360</v>
      </c>
      <c r="CE372" s="296">
        <v>2760</v>
      </c>
      <c r="CF372" s="261">
        <v>271853</v>
      </c>
      <c r="CG372" s="261">
        <v>191671</v>
      </c>
      <c r="CH372" s="202">
        <v>40</v>
      </c>
      <c r="CI372" s="261">
        <f t="shared" si="127"/>
        <v>7527.5208983860784</v>
      </c>
      <c r="CJ372" s="261">
        <f t="shared" si="128"/>
        <v>20775957.679545578</v>
      </c>
      <c r="CL372">
        <v>58560</v>
      </c>
      <c r="CM372" s="299">
        <v>2019</v>
      </c>
      <c r="CN372" s="299">
        <v>2670</v>
      </c>
      <c r="CO372" s="300" t="s">
        <v>257</v>
      </c>
      <c r="CP372" s="299">
        <v>755</v>
      </c>
      <c r="CQ372" s="299">
        <v>87</v>
      </c>
      <c r="CR372" s="294" t="s">
        <v>339</v>
      </c>
      <c r="CS372" s="294" t="s">
        <v>341</v>
      </c>
      <c r="CT372" s="294" t="s">
        <v>325</v>
      </c>
      <c r="CU372" s="301">
        <v>2891781000</v>
      </c>
      <c r="DC372">
        <f t="shared" si="129"/>
        <v>32</v>
      </c>
      <c r="DD372" s="630" t="s">
        <v>1666</v>
      </c>
      <c r="DE372" s="633">
        <v>319907.07710009342</v>
      </c>
      <c r="DF372" s="634">
        <v>442649.37480004702</v>
      </c>
      <c r="DG372" s="603">
        <f t="shared" si="130"/>
        <v>1383.6810951873679</v>
      </c>
      <c r="FH372">
        <v>28</v>
      </c>
      <c r="FI372" t="s">
        <v>1160</v>
      </c>
      <c r="FJ372" t="s">
        <v>1161</v>
      </c>
      <c r="FK372" t="s">
        <v>695</v>
      </c>
      <c r="FL372" s="286">
        <v>24104</v>
      </c>
      <c r="FM372" s="286">
        <v>1851660</v>
      </c>
      <c r="FN372" s="286">
        <v>158262020</v>
      </c>
      <c r="FO372" s="286">
        <v>33892878</v>
      </c>
      <c r="FP372">
        <v>20</v>
      </c>
      <c r="FQ372" s="925">
        <v>878.59703070032845</v>
      </c>
      <c r="FR372" s="926">
        <v>1626862977.8665702</v>
      </c>
      <c r="FS372">
        <v>0</v>
      </c>
    </row>
    <row r="373" spans="76:175">
      <c r="BX373" s="623"/>
      <c r="BY373" t="s">
        <v>1541</v>
      </c>
      <c r="BZ373" t="s">
        <v>1542</v>
      </c>
      <c r="CA373">
        <v>1</v>
      </c>
      <c r="CB373">
        <v>1</v>
      </c>
      <c r="CC373" t="s">
        <v>700</v>
      </c>
      <c r="CD373" s="286">
        <v>11520</v>
      </c>
      <c r="CE373" s="296">
        <v>98360</v>
      </c>
      <c r="CF373" s="261">
        <v>13802529</v>
      </c>
      <c r="CG373" s="261">
        <v>7918107</v>
      </c>
      <c r="CH373" s="202">
        <v>40</v>
      </c>
      <c r="CI373" s="261">
        <f t="shared" si="127"/>
        <v>7527.5208983860784</v>
      </c>
      <c r="CJ373" s="261">
        <f t="shared" si="128"/>
        <v>740406955.56525469</v>
      </c>
      <c r="CL373">
        <v>58320</v>
      </c>
      <c r="CM373" s="299">
        <v>2019</v>
      </c>
      <c r="CN373" s="299">
        <v>2670</v>
      </c>
      <c r="CO373" s="300" t="s">
        <v>257</v>
      </c>
      <c r="CP373" s="299">
        <v>755</v>
      </c>
      <c r="CQ373" s="299">
        <v>88</v>
      </c>
      <c r="CR373" s="294" t="s">
        <v>339</v>
      </c>
      <c r="CS373" s="294" t="s">
        <v>341</v>
      </c>
      <c r="CT373" s="294" t="s">
        <v>342</v>
      </c>
      <c r="CU373" s="301">
        <v>4569986000</v>
      </c>
      <c r="DC373">
        <f t="shared" si="129"/>
        <v>33</v>
      </c>
      <c r="DD373" s="630" t="s">
        <v>1667</v>
      </c>
      <c r="DE373" s="633">
        <v>147369.46260007127</v>
      </c>
      <c r="DF373" s="634">
        <v>455605.49780007207</v>
      </c>
      <c r="DG373" s="603">
        <f t="shared" si="130"/>
        <v>3091.5868848384584</v>
      </c>
      <c r="FH373">
        <v>28</v>
      </c>
      <c r="FI373" t="s">
        <v>987</v>
      </c>
      <c r="FJ373" t="s">
        <v>988</v>
      </c>
      <c r="FK373" t="s">
        <v>695</v>
      </c>
      <c r="FL373" s="286">
        <v>13060</v>
      </c>
      <c r="FM373" s="286">
        <v>1201956.0000000002</v>
      </c>
      <c r="FN373" s="286">
        <v>69190576</v>
      </c>
      <c r="FO373" s="286">
        <v>23257967</v>
      </c>
      <c r="FP373">
        <v>20</v>
      </c>
      <c r="FQ373" s="925">
        <v>878.59703070032845</v>
      </c>
      <c r="FR373" s="926">
        <v>1056034972.6324441</v>
      </c>
      <c r="FS373">
        <v>0</v>
      </c>
    </row>
    <row r="374" spans="76:175">
      <c r="BX374" s="623"/>
      <c r="BY374" t="s">
        <v>1543</v>
      </c>
      <c r="BZ374" t="s">
        <v>1544</v>
      </c>
      <c r="CA374">
        <v>1</v>
      </c>
      <c r="CB374">
        <v>1</v>
      </c>
      <c r="CC374" t="s">
        <v>700</v>
      </c>
      <c r="CD374" s="286">
        <v>6480</v>
      </c>
      <c r="CE374" s="296">
        <v>77640</v>
      </c>
      <c r="CF374" s="261">
        <v>7620708</v>
      </c>
      <c r="CG374" s="261">
        <v>5523768</v>
      </c>
      <c r="CH374" s="202">
        <v>40</v>
      </c>
      <c r="CI374" s="261">
        <f t="shared" si="127"/>
        <v>7527.5208983860784</v>
      </c>
      <c r="CJ374" s="261">
        <f t="shared" si="128"/>
        <v>584436722.55069518</v>
      </c>
      <c r="CL374">
        <v>81600</v>
      </c>
      <c r="CM374" s="299">
        <v>2019</v>
      </c>
      <c r="CN374" s="299">
        <v>2670</v>
      </c>
      <c r="CO374" s="300" t="s">
        <v>257</v>
      </c>
      <c r="CP374" s="299">
        <v>755</v>
      </c>
      <c r="CQ374" s="299">
        <v>89</v>
      </c>
      <c r="CR374" s="294" t="s">
        <v>377</v>
      </c>
      <c r="CS374" s="294" t="s">
        <v>378</v>
      </c>
      <c r="CT374" s="294" t="s">
        <v>379</v>
      </c>
      <c r="CU374" s="301">
        <v>73000</v>
      </c>
      <c r="DC374">
        <f t="shared" si="129"/>
        <v>34</v>
      </c>
      <c r="DD374" s="630" t="s">
        <v>1668</v>
      </c>
      <c r="DE374" s="633">
        <v>119387.97770000479</v>
      </c>
      <c r="DF374" s="634">
        <v>1051706.7695999423</v>
      </c>
      <c r="DG374" s="603">
        <f t="shared" si="130"/>
        <v>8809.1513891176346</v>
      </c>
      <c r="FH374">
        <v>28</v>
      </c>
      <c r="FI374" t="s">
        <v>1170</v>
      </c>
      <c r="FJ374" t="s">
        <v>1171</v>
      </c>
      <c r="FK374" t="s">
        <v>695</v>
      </c>
      <c r="FL374" s="286">
        <v>66607</v>
      </c>
      <c r="FM374" s="286">
        <v>6648357</v>
      </c>
      <c r="FN374" s="286">
        <v>247642066.99999997</v>
      </c>
      <c r="FO374" s="286">
        <v>137010320</v>
      </c>
      <c r="FP374">
        <v>22</v>
      </c>
      <c r="FQ374" s="925">
        <v>348.03770724419365</v>
      </c>
      <c r="FR374" s="926">
        <v>2313878927.2208858</v>
      </c>
      <c r="FS374">
        <v>0</v>
      </c>
    </row>
    <row r="375" spans="76:175">
      <c r="BX375" s="623"/>
      <c r="BY375" t="s">
        <v>1545</v>
      </c>
      <c r="BZ375" t="s">
        <v>1546</v>
      </c>
      <c r="CA375">
        <v>1</v>
      </c>
      <c r="CB375">
        <v>1</v>
      </c>
      <c r="CC375" t="s">
        <v>700</v>
      </c>
      <c r="CD375" s="286">
        <v>400</v>
      </c>
      <c r="CE375" s="296">
        <v>3120</v>
      </c>
      <c r="CF375" s="261">
        <v>485200</v>
      </c>
      <c r="CG375" s="261">
        <v>340435</v>
      </c>
      <c r="CH375" s="202">
        <v>40</v>
      </c>
      <c r="CI375" s="261">
        <f t="shared" si="127"/>
        <v>7527.5208983860784</v>
      </c>
      <c r="CJ375" s="261">
        <f t="shared" si="128"/>
        <v>23485865.202964563</v>
      </c>
      <c r="CL375">
        <v>1280</v>
      </c>
      <c r="CM375" s="299">
        <v>2019</v>
      </c>
      <c r="CN375" s="299">
        <v>2670</v>
      </c>
      <c r="CO375" s="300" t="s">
        <v>257</v>
      </c>
      <c r="CP375" s="299">
        <v>755</v>
      </c>
      <c r="CQ375" s="299">
        <v>98</v>
      </c>
      <c r="CR375" s="294" t="s">
        <v>343</v>
      </c>
      <c r="CS375" s="294" t="s">
        <v>380</v>
      </c>
      <c r="CT375" s="294" t="s">
        <v>381</v>
      </c>
      <c r="CU375" s="301">
        <v>28856795000</v>
      </c>
      <c r="DC375">
        <f t="shared" si="129"/>
        <v>35</v>
      </c>
      <c r="DD375" s="630" t="s">
        <v>1669</v>
      </c>
      <c r="DE375" s="633">
        <v>90977.00890000604</v>
      </c>
      <c r="DF375" s="634">
        <v>1583827.4903999625</v>
      </c>
      <c r="DG375" s="603">
        <f t="shared" si="130"/>
        <v>17409.096095264758</v>
      </c>
      <c r="FH375">
        <v>28</v>
      </c>
      <c r="FI375" t="s">
        <v>993</v>
      </c>
      <c r="FJ375" t="s">
        <v>994</v>
      </c>
      <c r="FK375" t="s">
        <v>695</v>
      </c>
      <c r="FL375" s="286">
        <v>32928</v>
      </c>
      <c r="FM375" s="286">
        <v>3244167.9999999995</v>
      </c>
      <c r="FN375" s="286">
        <v>156675382</v>
      </c>
      <c r="FO375" s="286">
        <v>70855241.000000015</v>
      </c>
      <c r="FP375">
        <v>22</v>
      </c>
      <c r="FQ375" s="925">
        <v>348.03770724419365</v>
      </c>
      <c r="FR375" s="926">
        <v>1129092792.6349812</v>
      </c>
      <c r="FS375">
        <v>0</v>
      </c>
    </row>
    <row r="376" spans="76:175">
      <c r="BX376" s="623"/>
      <c r="BY376" t="s">
        <v>1547</v>
      </c>
      <c r="BZ376" t="s">
        <v>1548</v>
      </c>
      <c r="CA376">
        <v>1</v>
      </c>
      <c r="CB376">
        <v>1</v>
      </c>
      <c r="CC376" t="s">
        <v>700</v>
      </c>
      <c r="CD376" s="286">
        <v>1240</v>
      </c>
      <c r="CE376" s="296">
        <v>15920</v>
      </c>
      <c r="CF376" s="261">
        <v>2393320</v>
      </c>
      <c r="CG376" s="261">
        <v>991919</v>
      </c>
      <c r="CH376" s="202">
        <v>40</v>
      </c>
      <c r="CI376" s="261">
        <f t="shared" si="127"/>
        <v>7527.5208983860784</v>
      </c>
      <c r="CJ376" s="261">
        <f t="shared" si="128"/>
        <v>119838132.70230637</v>
      </c>
      <c r="CL376">
        <v>2760</v>
      </c>
      <c r="CM376" s="299">
        <v>2019</v>
      </c>
      <c r="CN376" s="299">
        <v>2670</v>
      </c>
      <c r="CO376" s="300" t="s">
        <v>257</v>
      </c>
      <c r="CP376" s="299">
        <v>755</v>
      </c>
      <c r="CQ376" s="299">
        <v>99</v>
      </c>
      <c r="CR376" s="294" t="s">
        <v>343</v>
      </c>
      <c r="CS376" s="294" t="s">
        <v>344</v>
      </c>
      <c r="CT376" s="294" t="s">
        <v>322</v>
      </c>
      <c r="CU376" s="301">
        <v>96362217000</v>
      </c>
      <c r="DC376">
        <f t="shared" si="129"/>
        <v>36</v>
      </c>
      <c r="DD376" s="630" t="s">
        <v>1670</v>
      </c>
      <c r="DE376" s="633">
        <v>211023.07030007121</v>
      </c>
      <c r="DF376" s="634">
        <v>1574993.4215000065</v>
      </c>
      <c r="DG376" s="603">
        <f t="shared" si="130"/>
        <v>7463.6077432689826</v>
      </c>
      <c r="FH376">
        <v>28</v>
      </c>
      <c r="FI376" t="s">
        <v>1172</v>
      </c>
      <c r="FJ376" t="s">
        <v>1173</v>
      </c>
      <c r="FK376" t="s">
        <v>695</v>
      </c>
      <c r="FL376" s="286">
        <v>4916</v>
      </c>
      <c r="FM376" s="286">
        <v>428599.99999999994</v>
      </c>
      <c r="FN376" s="286">
        <v>25291961</v>
      </c>
      <c r="FO376" s="286">
        <v>10699733</v>
      </c>
      <c r="FP376">
        <v>22</v>
      </c>
      <c r="FQ376" s="925">
        <v>348.03770724419365</v>
      </c>
      <c r="FR376" s="926">
        <v>149168961.32486138</v>
      </c>
      <c r="FS376">
        <v>0</v>
      </c>
    </row>
    <row r="377" spans="76:175" ht="32">
      <c r="BX377" s="623"/>
      <c r="BY377" t="s">
        <v>1549</v>
      </c>
      <c r="BZ377" t="s">
        <v>1550</v>
      </c>
      <c r="CA377">
        <v>1</v>
      </c>
      <c r="CB377">
        <v>1</v>
      </c>
      <c r="CC377" t="s">
        <v>700</v>
      </c>
      <c r="CD377" s="286">
        <v>4240</v>
      </c>
      <c r="CE377" s="296">
        <v>58040</v>
      </c>
      <c r="CF377" s="261">
        <v>9828597</v>
      </c>
      <c r="CG377" s="261">
        <v>3492578</v>
      </c>
      <c r="CH377" s="202">
        <v>40</v>
      </c>
      <c r="CI377" s="261">
        <f t="shared" si="127"/>
        <v>7527.5208983860784</v>
      </c>
      <c r="CJ377" s="261">
        <f t="shared" si="128"/>
        <v>436897312.94232798</v>
      </c>
      <c r="CL377">
        <v>98360</v>
      </c>
      <c r="CM377" s="299">
        <v>2019</v>
      </c>
      <c r="CN377" s="299">
        <v>2670</v>
      </c>
      <c r="CO377" s="300" t="s">
        <v>257</v>
      </c>
      <c r="CP377" s="299">
        <v>755</v>
      </c>
      <c r="CQ377" s="299">
        <v>100</v>
      </c>
      <c r="CR377" s="294" t="s">
        <v>343</v>
      </c>
      <c r="CS377" s="294" t="s">
        <v>344</v>
      </c>
      <c r="CT377" s="294" t="s">
        <v>323</v>
      </c>
      <c r="CU377" s="301">
        <v>38207173000</v>
      </c>
      <c r="DC377">
        <f t="shared" si="129"/>
        <v>37</v>
      </c>
      <c r="DD377" s="630" t="s">
        <v>1671</v>
      </c>
      <c r="DE377" s="633">
        <v>17470.514999999006</v>
      </c>
      <c r="DF377" s="634">
        <v>381719.62060003891</v>
      </c>
      <c r="DG377" s="603">
        <f t="shared" si="130"/>
        <v>21849.362803561351</v>
      </c>
      <c r="FH377">
        <v>28</v>
      </c>
      <c r="FI377" t="s">
        <v>1162</v>
      </c>
      <c r="FJ377" t="s">
        <v>1163</v>
      </c>
      <c r="FK377" t="s">
        <v>695</v>
      </c>
      <c r="FL377" s="286">
        <v>1200</v>
      </c>
      <c r="FM377" s="286">
        <v>105520</v>
      </c>
      <c r="FN377" s="286">
        <v>7030346</v>
      </c>
      <c r="FO377" s="286">
        <v>2542467</v>
      </c>
      <c r="FP377">
        <v>23</v>
      </c>
      <c r="FQ377" s="925">
        <v>3119.4415649807693</v>
      </c>
      <c r="FR377" s="926">
        <v>329163473.9367708</v>
      </c>
      <c r="FS377">
        <v>0</v>
      </c>
    </row>
    <row r="378" spans="76:175">
      <c r="BX378" s="623"/>
      <c r="BY378" t="s">
        <v>1551</v>
      </c>
      <c r="BZ378" t="s">
        <v>1552</v>
      </c>
      <c r="CA378">
        <v>1</v>
      </c>
      <c r="CB378">
        <v>1</v>
      </c>
      <c r="CC378" t="s">
        <v>700</v>
      </c>
      <c r="CD378" s="286">
        <v>5640</v>
      </c>
      <c r="CE378" s="296">
        <v>90400</v>
      </c>
      <c r="CF378" s="261">
        <v>7311192</v>
      </c>
      <c r="CG378" s="261">
        <v>4338865</v>
      </c>
      <c r="CH378" s="202">
        <v>40</v>
      </c>
      <c r="CI378" s="261">
        <f t="shared" si="127"/>
        <v>7527.5208983860784</v>
      </c>
      <c r="CJ378" s="261">
        <f t="shared" si="128"/>
        <v>680487889.21410143</v>
      </c>
      <c r="CL378">
        <v>77640</v>
      </c>
      <c r="CM378" s="299">
        <v>2019</v>
      </c>
      <c r="CN378" s="299">
        <v>2670</v>
      </c>
      <c r="CO378" s="300" t="s">
        <v>257</v>
      </c>
      <c r="CP378" s="299">
        <v>755</v>
      </c>
      <c r="CQ378" s="299">
        <v>101</v>
      </c>
      <c r="CR378" s="294" t="s">
        <v>343</v>
      </c>
      <c r="CS378" s="294" t="s">
        <v>344</v>
      </c>
      <c r="CT378" s="294" t="s">
        <v>325</v>
      </c>
      <c r="CU378" s="301">
        <v>251732239000</v>
      </c>
      <c r="DC378">
        <f t="shared" si="129"/>
        <v>38</v>
      </c>
      <c r="DD378" s="630" t="s">
        <v>1672</v>
      </c>
      <c r="DE378" s="633">
        <v>15087.815599995956</v>
      </c>
      <c r="DF378" s="634">
        <v>463439.748000063</v>
      </c>
      <c r="DG378" s="603">
        <f t="shared" si="130"/>
        <v>30716.159335894004</v>
      </c>
      <c r="FH378">
        <v>28</v>
      </c>
      <c r="FI378" t="s">
        <v>1164</v>
      </c>
      <c r="FJ378" t="s">
        <v>1165</v>
      </c>
      <c r="FK378" t="s">
        <v>695</v>
      </c>
      <c r="FL378" s="286">
        <v>7860</v>
      </c>
      <c r="FM378" s="286">
        <v>678496</v>
      </c>
      <c r="FN378" s="286">
        <v>31825078</v>
      </c>
      <c r="FO378" s="286">
        <v>14941127</v>
      </c>
      <c r="FP378">
        <v>23</v>
      </c>
      <c r="FQ378" s="925">
        <v>3119.4415649807693</v>
      </c>
      <c r="FR378" s="926">
        <v>2116528624.0731921</v>
      </c>
      <c r="FS378">
        <v>0</v>
      </c>
    </row>
    <row r="379" spans="76:175">
      <c r="BX379" s="623"/>
      <c r="BY379" t="s">
        <v>1553</v>
      </c>
      <c r="BZ379" t="s">
        <v>1552</v>
      </c>
      <c r="CA379">
        <v>1</v>
      </c>
      <c r="CB379">
        <v>1</v>
      </c>
      <c r="CC379" t="s">
        <v>700</v>
      </c>
      <c r="CD379" s="286">
        <v>5480</v>
      </c>
      <c r="CE379" s="296">
        <v>61400</v>
      </c>
      <c r="CF379" s="261">
        <v>9199879</v>
      </c>
      <c r="CG379" s="261">
        <v>4331990</v>
      </c>
      <c r="CH379" s="202">
        <v>40</v>
      </c>
      <c r="CI379" s="261">
        <f t="shared" si="127"/>
        <v>7527.5208983860784</v>
      </c>
      <c r="CJ379" s="261">
        <f t="shared" si="128"/>
        <v>462189783.16090524</v>
      </c>
      <c r="CL379">
        <v>3120</v>
      </c>
      <c r="CM379" s="299">
        <v>2019</v>
      </c>
      <c r="CN379" s="299">
        <v>2670</v>
      </c>
      <c r="CO379" s="300" t="s">
        <v>257</v>
      </c>
      <c r="CP379" s="299">
        <v>755</v>
      </c>
      <c r="CQ379" s="299">
        <v>102</v>
      </c>
      <c r="CR379" s="294" t="s">
        <v>343</v>
      </c>
      <c r="CS379" s="294" t="s">
        <v>345</v>
      </c>
      <c r="CT379" s="294" t="s">
        <v>346</v>
      </c>
      <c r="CU379" s="301">
        <v>0</v>
      </c>
      <c r="DC379">
        <f t="shared" si="129"/>
        <v>39</v>
      </c>
      <c r="DD379" s="630" t="s">
        <v>1673</v>
      </c>
      <c r="DE379" s="633">
        <v>73629.870500006524</v>
      </c>
      <c r="DF379" s="634">
        <v>396647.15260006953</v>
      </c>
      <c r="DG379" s="603">
        <f t="shared" si="130"/>
        <v>5387.04129053214</v>
      </c>
      <c r="FH379">
        <v>28</v>
      </c>
      <c r="FI379" t="s">
        <v>1166</v>
      </c>
      <c r="FJ379" t="s">
        <v>1167</v>
      </c>
      <c r="FK379" t="s">
        <v>695</v>
      </c>
      <c r="FL379" s="286">
        <v>1360</v>
      </c>
      <c r="FM379" s="286">
        <v>105360</v>
      </c>
      <c r="FN379" s="286">
        <v>7405320</v>
      </c>
      <c r="FO379" s="286">
        <v>2539189</v>
      </c>
      <c r="FP379">
        <v>23</v>
      </c>
      <c r="FQ379" s="925">
        <v>3119.4415649807693</v>
      </c>
      <c r="FR379" s="926">
        <v>328664363.28637385</v>
      </c>
      <c r="FS379">
        <v>0</v>
      </c>
    </row>
    <row r="380" spans="76:175" ht="32">
      <c r="BX380" s="623"/>
      <c r="BY380" t="s">
        <v>1034</v>
      </c>
      <c r="BZ380" t="s">
        <v>1035</v>
      </c>
      <c r="CA380">
        <v>1</v>
      </c>
      <c r="CB380">
        <v>1</v>
      </c>
      <c r="CC380" t="s">
        <v>700</v>
      </c>
      <c r="CD380" s="286">
        <v>10200</v>
      </c>
      <c r="CE380" s="296">
        <v>216680</v>
      </c>
      <c r="CF380" s="261">
        <v>9944521</v>
      </c>
      <c r="CG380" s="261">
        <v>9574049</v>
      </c>
      <c r="CH380" s="202">
        <v>41</v>
      </c>
      <c r="CI380" s="261">
        <f t="shared" si="127"/>
        <v>143.17663014662168</v>
      </c>
      <c r="CJ380" s="261">
        <f t="shared" si="128"/>
        <v>31023512.220169984</v>
      </c>
      <c r="CL380">
        <v>15920</v>
      </c>
      <c r="CM380" s="299">
        <v>2019</v>
      </c>
      <c r="CN380" s="299">
        <v>2670</v>
      </c>
      <c r="CO380" s="300" t="s">
        <v>257</v>
      </c>
      <c r="CP380" s="299">
        <v>755</v>
      </c>
      <c r="CQ380" s="299">
        <v>103</v>
      </c>
      <c r="CR380" s="294" t="s">
        <v>343</v>
      </c>
      <c r="CS380" s="294" t="s">
        <v>347</v>
      </c>
      <c r="CT380" s="294" t="s">
        <v>348</v>
      </c>
      <c r="CU380" s="301">
        <v>2120408000</v>
      </c>
      <c r="DC380">
        <f t="shared" si="129"/>
        <v>40</v>
      </c>
      <c r="DD380" s="630" t="s">
        <v>1674</v>
      </c>
      <c r="DE380" s="633">
        <v>103872.65560001004</v>
      </c>
      <c r="DF380" s="634">
        <v>781903.58579993527</v>
      </c>
      <c r="DG380" s="603">
        <f t="shared" si="130"/>
        <v>7527.5208983860784</v>
      </c>
      <c r="FH380">
        <v>28</v>
      </c>
      <c r="FI380" t="s">
        <v>1168</v>
      </c>
      <c r="FJ380" t="s">
        <v>1169</v>
      </c>
      <c r="FK380" t="s">
        <v>695</v>
      </c>
      <c r="FL380" s="286">
        <v>9800</v>
      </c>
      <c r="FM380" s="286">
        <v>872120</v>
      </c>
      <c r="FN380" s="286">
        <v>33644157</v>
      </c>
      <c r="FO380" s="286">
        <v>15458971</v>
      </c>
      <c r="FP380">
        <v>23</v>
      </c>
      <c r="FQ380" s="925">
        <v>3119.4415649807693</v>
      </c>
      <c r="FR380" s="926">
        <v>2720527377.6510286</v>
      </c>
      <c r="FS380">
        <v>0</v>
      </c>
    </row>
    <row r="381" spans="76:175">
      <c r="BX381" s="623"/>
      <c r="BY381" t="s">
        <v>1554</v>
      </c>
      <c r="BZ381" t="s">
        <v>1555</v>
      </c>
      <c r="CA381">
        <v>1</v>
      </c>
      <c r="CB381">
        <v>1</v>
      </c>
      <c r="CC381" t="s">
        <v>700</v>
      </c>
      <c r="CD381" s="286">
        <v>560</v>
      </c>
      <c r="CE381" s="296">
        <v>11840</v>
      </c>
      <c r="CF381" s="261">
        <v>423384</v>
      </c>
      <c r="CG381" s="261">
        <v>543189</v>
      </c>
      <c r="CH381" s="202">
        <v>41</v>
      </c>
      <c r="CI381" s="261">
        <f t="shared" si="127"/>
        <v>143.17663014662168</v>
      </c>
      <c r="CJ381" s="261">
        <f t="shared" si="128"/>
        <v>1695211.3009360007</v>
      </c>
      <c r="CL381">
        <v>58040</v>
      </c>
      <c r="CM381" s="299">
        <v>2019</v>
      </c>
      <c r="CN381" s="299">
        <v>2670</v>
      </c>
      <c r="CO381" s="300" t="s">
        <v>257</v>
      </c>
      <c r="CP381" s="299">
        <v>755</v>
      </c>
      <c r="CQ381" s="299">
        <v>104</v>
      </c>
      <c r="CR381" s="294" t="s">
        <v>343</v>
      </c>
      <c r="CS381" s="294" t="s">
        <v>349</v>
      </c>
      <c r="CT381" s="294" t="s">
        <v>350</v>
      </c>
      <c r="CU381" s="301">
        <v>417278832000</v>
      </c>
      <c r="DC381">
        <f t="shared" si="129"/>
        <v>41</v>
      </c>
      <c r="DD381" s="630" t="s">
        <v>1675</v>
      </c>
      <c r="DE381" s="633">
        <v>603499.61799989373</v>
      </c>
      <c r="DF381" s="634">
        <v>86407.041599998265</v>
      </c>
      <c r="DG381" s="603">
        <f t="shared" si="130"/>
        <v>143.17663014662168</v>
      </c>
      <c r="FH381">
        <v>28</v>
      </c>
      <c r="FI381" t="s">
        <v>1174</v>
      </c>
      <c r="FJ381" t="s">
        <v>1175</v>
      </c>
      <c r="FK381" t="s">
        <v>695</v>
      </c>
      <c r="FL381" s="286">
        <v>45512</v>
      </c>
      <c r="FM381" s="286">
        <v>4109764</v>
      </c>
      <c r="FN381" s="286">
        <v>217221420</v>
      </c>
      <c r="FO381" s="286">
        <v>109025430</v>
      </c>
      <c r="FP381">
        <v>23</v>
      </c>
      <c r="FQ381" s="925">
        <v>3119.4415649807693</v>
      </c>
      <c r="FR381" s="926">
        <v>12820168643.861626</v>
      </c>
      <c r="FS381">
        <v>0</v>
      </c>
    </row>
    <row r="382" spans="76:175">
      <c r="BX382" s="623"/>
      <c r="BY382" t="s">
        <v>1556</v>
      </c>
      <c r="BZ382" t="s">
        <v>1557</v>
      </c>
      <c r="CA382">
        <v>1</v>
      </c>
      <c r="CB382">
        <v>1</v>
      </c>
      <c r="CC382" t="s">
        <v>700</v>
      </c>
      <c r="CD382" s="286">
        <v>5560</v>
      </c>
      <c r="CE382" s="296">
        <v>95840</v>
      </c>
      <c r="CF382" s="261">
        <v>8429934</v>
      </c>
      <c r="CG382" s="261">
        <v>5065582</v>
      </c>
      <c r="CH382" s="202">
        <v>41</v>
      </c>
      <c r="CI382" s="261">
        <f t="shared" si="127"/>
        <v>143.17663014662168</v>
      </c>
      <c r="CJ382" s="261">
        <f t="shared" si="128"/>
        <v>13722048.233252222</v>
      </c>
      <c r="CL382">
        <v>90400</v>
      </c>
      <c r="CM382" s="299">
        <v>2019</v>
      </c>
      <c r="CN382" s="299">
        <v>2670</v>
      </c>
      <c r="CO382" s="300" t="s">
        <v>257</v>
      </c>
      <c r="CP382" s="299">
        <v>755</v>
      </c>
      <c r="CQ382" s="299">
        <v>105</v>
      </c>
      <c r="CR382" s="294" t="s">
        <v>351</v>
      </c>
      <c r="CS382" s="294" t="s">
        <v>352</v>
      </c>
      <c r="CT382" s="294" t="s">
        <v>353</v>
      </c>
      <c r="CU382" s="301">
        <v>353597000</v>
      </c>
      <c r="DC382">
        <f t="shared" si="129"/>
        <v>43</v>
      </c>
      <c r="DD382" s="630" t="s">
        <v>1676</v>
      </c>
      <c r="DE382" s="633">
        <v>390126.18230004323</v>
      </c>
      <c r="DF382" s="634">
        <v>1487758.764099994</v>
      </c>
      <c r="DG382" s="603">
        <f t="shared" si="130"/>
        <v>3813.5322149585168</v>
      </c>
      <c r="FH382">
        <v>28</v>
      </c>
      <c r="FI382" t="s">
        <v>1176</v>
      </c>
      <c r="FJ382" t="s">
        <v>1177</v>
      </c>
      <c r="FK382" t="s">
        <v>695</v>
      </c>
      <c r="FL382" s="286">
        <v>12592</v>
      </c>
      <c r="FM382" s="286">
        <v>1078032</v>
      </c>
      <c r="FN382" s="286">
        <v>53957104.000000007</v>
      </c>
      <c r="FO382" s="286">
        <v>24864243.000000004</v>
      </c>
      <c r="FP382">
        <v>23</v>
      </c>
      <c r="FQ382" s="925">
        <v>3119.4415649807693</v>
      </c>
      <c r="FR382" s="926">
        <v>3362857829.1793485</v>
      </c>
      <c r="FS382">
        <v>0</v>
      </c>
    </row>
    <row r="383" spans="76:175">
      <c r="BX383" s="623"/>
      <c r="BY383" t="s">
        <v>1558</v>
      </c>
      <c r="BZ383" t="s">
        <v>1559</v>
      </c>
      <c r="CA383">
        <v>1</v>
      </c>
      <c r="CB383">
        <v>1</v>
      </c>
      <c r="CC383" t="s">
        <v>700</v>
      </c>
      <c r="CD383" s="286">
        <v>16880</v>
      </c>
      <c r="CE383" s="296">
        <v>302760</v>
      </c>
      <c r="CF383" s="261">
        <v>13459276</v>
      </c>
      <c r="CG383" s="261">
        <v>12320232</v>
      </c>
      <c r="CH383" s="202">
        <v>41</v>
      </c>
      <c r="CI383" s="261">
        <f t="shared" si="127"/>
        <v>143.17663014662168</v>
      </c>
      <c r="CJ383" s="261">
        <f t="shared" si="128"/>
        <v>43348156.54319118</v>
      </c>
      <c r="CL383">
        <v>61400</v>
      </c>
      <c r="CM383" s="299">
        <v>2019</v>
      </c>
      <c r="CN383" s="299">
        <v>2670</v>
      </c>
      <c r="CO383" s="300" t="s">
        <v>257</v>
      </c>
      <c r="CP383" s="299">
        <v>755</v>
      </c>
      <c r="CQ383" s="299">
        <v>106</v>
      </c>
      <c r="CR383" s="294" t="s">
        <v>351</v>
      </c>
      <c r="CS383" s="294" t="s">
        <v>354</v>
      </c>
      <c r="CT383" s="294" t="s">
        <v>355</v>
      </c>
      <c r="CU383" s="301">
        <v>918000</v>
      </c>
      <c r="DC383">
        <f t="shared" si="129"/>
        <v>99</v>
      </c>
      <c r="DD383" s="635" t="s">
        <v>1677</v>
      </c>
      <c r="DE383" s="636">
        <v>1353.5813999999998</v>
      </c>
      <c r="DF383" s="637">
        <v>376.98310000000004</v>
      </c>
      <c r="DG383" s="638">
        <f t="shared" si="130"/>
        <v>278.50789025322013</v>
      </c>
      <c r="FH383">
        <v>28</v>
      </c>
      <c r="FI383" t="s">
        <v>1178</v>
      </c>
      <c r="FJ383" t="s">
        <v>1179</v>
      </c>
      <c r="FK383" t="s">
        <v>695</v>
      </c>
      <c r="FL383" s="286">
        <v>43971</v>
      </c>
      <c r="FM383" s="286">
        <v>4084194</v>
      </c>
      <c r="FN383" s="286">
        <v>142978146</v>
      </c>
      <c r="FO383" s="286">
        <v>116310690.99999999</v>
      </c>
      <c r="FP383">
        <v>23</v>
      </c>
      <c r="FQ383" s="925">
        <v>3119.4415649807693</v>
      </c>
      <c r="FR383" s="926">
        <v>12740404523.045069</v>
      </c>
      <c r="FS383">
        <v>0</v>
      </c>
    </row>
    <row r="384" spans="76:175" ht="17">
      <c r="BX384" s="623"/>
      <c r="BY384" t="s">
        <v>887</v>
      </c>
      <c r="BZ384" t="s">
        <v>888</v>
      </c>
      <c r="CA384">
        <v>1</v>
      </c>
      <c r="CB384">
        <v>1</v>
      </c>
      <c r="CC384" t="s">
        <v>700</v>
      </c>
      <c r="CD384" s="286">
        <v>12720</v>
      </c>
      <c r="CE384" s="296">
        <v>254280</v>
      </c>
      <c r="CF384" s="261">
        <v>11710383</v>
      </c>
      <c r="CG384" s="261">
        <v>11920794</v>
      </c>
      <c r="CH384" s="202">
        <v>41</v>
      </c>
      <c r="CI384" s="261">
        <f t="shared" si="127"/>
        <v>143.17663014662168</v>
      </c>
      <c r="CJ384" s="261">
        <f t="shared" si="128"/>
        <v>36406953.513682961</v>
      </c>
      <c r="CL384">
        <v>216680</v>
      </c>
      <c r="CM384" s="299">
        <v>2019</v>
      </c>
      <c r="CN384" s="299">
        <v>2670</v>
      </c>
      <c r="CO384" s="300" t="s">
        <v>257</v>
      </c>
      <c r="CP384" s="299">
        <v>755</v>
      </c>
      <c r="CQ384" s="299">
        <v>107</v>
      </c>
      <c r="CR384" s="294" t="s">
        <v>351</v>
      </c>
      <c r="CS384" s="294" t="s">
        <v>356</v>
      </c>
      <c r="CT384" s="294" t="s">
        <v>357</v>
      </c>
      <c r="CU384" s="301">
        <v>354515000</v>
      </c>
      <c r="DD384" s="639" t="s">
        <v>1678</v>
      </c>
      <c r="DE384" s="640">
        <f>SUM(DE341:DE383)</f>
        <v>17824281.229800198</v>
      </c>
      <c r="DF384" s="641">
        <f>SUM(DF341:DF383)</f>
        <v>17500885.45810014</v>
      </c>
      <c r="DG384" s="638">
        <f t="shared" si="130"/>
        <v>981.85644809287589</v>
      </c>
      <c r="FH384">
        <v>28</v>
      </c>
      <c r="FI384" t="s">
        <v>1180</v>
      </c>
      <c r="FJ384" t="s">
        <v>1181</v>
      </c>
      <c r="FK384" t="s">
        <v>695</v>
      </c>
      <c r="FL384" s="286">
        <v>4672</v>
      </c>
      <c r="FM384" s="286">
        <v>425940</v>
      </c>
      <c r="FN384" s="286">
        <v>21063307</v>
      </c>
      <c r="FO384" s="286">
        <v>8832328</v>
      </c>
      <c r="FP384">
        <v>23</v>
      </c>
      <c r="FQ384" s="925">
        <v>3119.4415649807693</v>
      </c>
      <c r="FR384" s="926">
        <v>1328694940.1879089</v>
      </c>
      <c r="FS384">
        <v>0</v>
      </c>
    </row>
    <row r="385" spans="76:178">
      <c r="BX385" s="623"/>
      <c r="BY385" t="s">
        <v>1198</v>
      </c>
      <c r="BZ385" t="s">
        <v>1199</v>
      </c>
      <c r="CA385">
        <v>1</v>
      </c>
      <c r="CB385">
        <v>1</v>
      </c>
      <c r="CC385" t="s">
        <v>700</v>
      </c>
      <c r="CD385" s="286">
        <v>6400</v>
      </c>
      <c r="CE385" s="296">
        <v>95960</v>
      </c>
      <c r="CF385" s="261">
        <v>6366766</v>
      </c>
      <c r="CG385" s="261">
        <v>4937524</v>
      </c>
      <c r="CH385" s="202">
        <v>41</v>
      </c>
      <c r="CI385" s="261">
        <f t="shared" si="127"/>
        <v>143.17663014662168</v>
      </c>
      <c r="CJ385" s="261">
        <f t="shared" si="128"/>
        <v>13739229.428869816</v>
      </c>
      <c r="CL385">
        <v>11840</v>
      </c>
      <c r="CM385" s="299">
        <v>2019</v>
      </c>
      <c r="CN385" s="299">
        <v>2670</v>
      </c>
      <c r="CO385" s="300" t="s">
        <v>257</v>
      </c>
      <c r="CP385" s="299">
        <v>755</v>
      </c>
      <c r="CQ385" s="299">
        <v>108</v>
      </c>
      <c r="CR385" s="294" t="s">
        <v>358</v>
      </c>
      <c r="CS385" s="294" t="s">
        <v>359</v>
      </c>
      <c r="CT385" s="294" t="s">
        <v>360</v>
      </c>
      <c r="CU385" s="301">
        <v>199211391000</v>
      </c>
      <c r="DD385" s="625"/>
      <c r="DE385" s="29"/>
      <c r="DF385" s="29"/>
      <c r="FH385">
        <v>28</v>
      </c>
      <c r="FI385" t="s">
        <v>989</v>
      </c>
      <c r="FJ385" t="s">
        <v>990</v>
      </c>
      <c r="FK385" t="s">
        <v>695</v>
      </c>
      <c r="FL385" s="286">
        <v>8600</v>
      </c>
      <c r="FM385" s="286">
        <v>718640</v>
      </c>
      <c r="FN385" s="286">
        <v>44487962.999999993</v>
      </c>
      <c r="FO385" s="286">
        <v>16773553</v>
      </c>
      <c r="FP385">
        <v>24</v>
      </c>
      <c r="FQ385" s="925">
        <v>2791.0393486833841</v>
      </c>
      <c r="FR385" s="926">
        <v>2005752517.5378273</v>
      </c>
      <c r="FS385">
        <v>0</v>
      </c>
    </row>
    <row r="386" spans="76:178" ht="16" customHeight="1">
      <c r="BX386" s="623"/>
      <c r="BY386" t="s">
        <v>1560</v>
      </c>
      <c r="BZ386" t="s">
        <v>1561</v>
      </c>
      <c r="CA386">
        <v>1</v>
      </c>
      <c r="CB386">
        <v>1</v>
      </c>
      <c r="CC386" t="s">
        <v>700</v>
      </c>
      <c r="CD386" s="286">
        <v>3440</v>
      </c>
      <c r="CE386" s="296">
        <v>48520</v>
      </c>
      <c r="CF386" s="261">
        <v>3365157</v>
      </c>
      <c r="CG386" s="261">
        <v>2690896</v>
      </c>
      <c r="CH386" s="202">
        <v>41</v>
      </c>
      <c r="CI386" s="261">
        <f t="shared" si="127"/>
        <v>143.17663014662168</v>
      </c>
      <c r="CJ386" s="261">
        <f t="shared" si="128"/>
        <v>6946930.0947140837</v>
      </c>
      <c r="CL386">
        <v>95840</v>
      </c>
      <c r="CM386" s="299">
        <v>2019</v>
      </c>
      <c r="CN386" s="299">
        <v>2670</v>
      </c>
      <c r="CO386" s="300" t="s">
        <v>257</v>
      </c>
      <c r="CP386" s="299">
        <v>755</v>
      </c>
      <c r="CQ386" s="299">
        <v>109</v>
      </c>
      <c r="CR386" s="294" t="s">
        <v>358</v>
      </c>
      <c r="CS386" s="294" t="s">
        <v>359</v>
      </c>
      <c r="CT386" s="294" t="s">
        <v>361</v>
      </c>
      <c r="CU386" s="301">
        <v>0</v>
      </c>
      <c r="DD386" s="642" t="s">
        <v>1679</v>
      </c>
      <c r="DE386" s="642"/>
      <c r="DF386" s="642"/>
      <c r="FH386">
        <v>28</v>
      </c>
      <c r="FI386" t="s">
        <v>853</v>
      </c>
      <c r="FJ386" t="s">
        <v>854</v>
      </c>
      <c r="FK386" t="s">
        <v>695</v>
      </c>
      <c r="FL386" s="286">
        <v>8800</v>
      </c>
      <c r="FM386" s="286">
        <v>746839.99999999988</v>
      </c>
      <c r="FN386" s="286">
        <v>38611915</v>
      </c>
      <c r="FO386" s="286">
        <v>16918657</v>
      </c>
      <c r="FP386">
        <v>24</v>
      </c>
      <c r="FQ386" s="925">
        <v>2791.0393486833841</v>
      </c>
      <c r="FR386" s="926">
        <v>2084459827.1706982</v>
      </c>
      <c r="FS386">
        <v>0</v>
      </c>
    </row>
    <row r="387" spans="76:178">
      <c r="BX387" s="623"/>
      <c r="BY387" t="s">
        <v>1036</v>
      </c>
      <c r="BZ387" t="s">
        <v>1037</v>
      </c>
      <c r="CA387">
        <v>1</v>
      </c>
      <c r="CB387">
        <v>1</v>
      </c>
      <c r="CC387" t="s">
        <v>700</v>
      </c>
      <c r="CD387" s="286">
        <v>171548</v>
      </c>
      <c r="CE387" s="296">
        <v>4996364</v>
      </c>
      <c r="CF387" s="261">
        <v>97569216</v>
      </c>
      <c r="CG387" s="261">
        <v>63464384</v>
      </c>
      <c r="CH387" s="202">
        <v>41</v>
      </c>
      <c r="CI387" s="261">
        <f t="shared" ref="CI387:CI405" si="131">VLOOKUP($CH387,$DC$341:$DG$383,5)</f>
        <v>143.17663014662168</v>
      </c>
      <c r="CJ387" s="261">
        <f t="shared" ref="CJ387:CJ405" si="132">CI387*CE387</f>
        <v>715362560.50589526</v>
      </c>
      <c r="CL387">
        <v>302760</v>
      </c>
      <c r="CM387" s="299">
        <v>2019</v>
      </c>
      <c r="CN387" s="299">
        <v>2670</v>
      </c>
      <c r="CO387" s="300" t="s">
        <v>257</v>
      </c>
      <c r="CP387" s="299">
        <v>755</v>
      </c>
      <c r="CQ387" s="299">
        <v>110</v>
      </c>
      <c r="CR387" s="294" t="s">
        <v>358</v>
      </c>
      <c r="CS387" s="294" t="s">
        <v>359</v>
      </c>
      <c r="CT387" s="294" t="s">
        <v>362</v>
      </c>
      <c r="CU387" s="301">
        <v>199211391000</v>
      </c>
      <c r="FH387">
        <v>26</v>
      </c>
      <c r="FI387" t="s">
        <v>1121</v>
      </c>
      <c r="FJ387" t="s">
        <v>1122</v>
      </c>
      <c r="FK387" t="s">
        <v>695</v>
      </c>
      <c r="FL387" s="286">
        <v>6000</v>
      </c>
      <c r="FM387" s="286">
        <v>527880</v>
      </c>
      <c r="FN387" s="286">
        <v>25861925</v>
      </c>
      <c r="FO387" s="286">
        <v>10991958</v>
      </c>
      <c r="FP387">
        <v>27</v>
      </c>
      <c r="FQ387" s="925">
        <v>985.37071332586186</v>
      </c>
      <c r="FR387" s="926">
        <v>520157492.15045595</v>
      </c>
      <c r="FS387">
        <v>0</v>
      </c>
    </row>
    <row r="388" spans="76:178">
      <c r="BX388" s="623"/>
      <c r="BY388" t="s">
        <v>1562</v>
      </c>
      <c r="BZ388" t="s">
        <v>1563</v>
      </c>
      <c r="CA388">
        <v>1</v>
      </c>
      <c r="CB388">
        <v>1</v>
      </c>
      <c r="CC388" t="s">
        <v>700</v>
      </c>
      <c r="CD388" s="286">
        <v>480</v>
      </c>
      <c r="CE388" s="296">
        <v>6080</v>
      </c>
      <c r="CF388" s="261">
        <v>414280</v>
      </c>
      <c r="CG388" s="261">
        <v>309293</v>
      </c>
      <c r="CH388" s="202">
        <v>40</v>
      </c>
      <c r="CI388" s="261">
        <f t="shared" si="131"/>
        <v>7527.5208983860784</v>
      </c>
      <c r="CJ388" s="261">
        <f t="shared" si="132"/>
        <v>45767327.062187359</v>
      </c>
      <c r="CL388">
        <v>254280</v>
      </c>
      <c r="CM388" s="299">
        <v>2019</v>
      </c>
      <c r="CN388" s="299">
        <v>2670</v>
      </c>
      <c r="CO388" s="300" t="s">
        <v>257</v>
      </c>
      <c r="CP388" s="299">
        <v>755</v>
      </c>
      <c r="CQ388" s="299">
        <v>111</v>
      </c>
      <c r="CR388" s="294" t="s">
        <v>358</v>
      </c>
      <c r="CS388" s="294" t="s">
        <v>363</v>
      </c>
      <c r="CT388" s="294" t="s">
        <v>364</v>
      </c>
      <c r="CU388" s="301">
        <v>40879000</v>
      </c>
      <c r="FH388">
        <v>37</v>
      </c>
      <c r="FI388" t="s">
        <v>883</v>
      </c>
      <c r="FJ388" t="s">
        <v>884</v>
      </c>
      <c r="FK388" t="s">
        <v>695</v>
      </c>
      <c r="FL388" s="286">
        <v>170258</v>
      </c>
      <c r="FM388" s="286">
        <v>4308664</v>
      </c>
      <c r="FN388" s="286">
        <v>365937713</v>
      </c>
      <c r="FO388" s="286">
        <v>214278389.99999997</v>
      </c>
      <c r="FP388">
        <v>36</v>
      </c>
      <c r="FQ388" s="925">
        <v>7463.6077432689826</v>
      </c>
      <c r="FR388" s="926">
        <v>32158177993.544308</v>
      </c>
      <c r="FS388">
        <v>0</v>
      </c>
    </row>
    <row r="389" spans="76:178">
      <c r="BX389" s="623"/>
      <c r="BY389" t="s">
        <v>1564</v>
      </c>
      <c r="BZ389" t="s">
        <v>1565</v>
      </c>
      <c r="CA389">
        <v>1</v>
      </c>
      <c r="CB389">
        <v>1</v>
      </c>
      <c r="CC389" t="s">
        <v>700</v>
      </c>
      <c r="CD389" s="286">
        <v>1800</v>
      </c>
      <c r="CE389" s="296">
        <v>16080</v>
      </c>
      <c r="CF389" s="261">
        <v>1662680</v>
      </c>
      <c r="CG389" s="261">
        <v>706171</v>
      </c>
      <c r="CH389" s="202">
        <v>40</v>
      </c>
      <c r="CI389" s="261">
        <f t="shared" si="131"/>
        <v>7527.5208983860784</v>
      </c>
      <c r="CJ389" s="261">
        <f t="shared" si="132"/>
        <v>121042536.04604813</v>
      </c>
      <c r="CL389">
        <v>95960</v>
      </c>
      <c r="CM389" s="299">
        <v>2019</v>
      </c>
      <c r="CN389" s="299">
        <v>2670</v>
      </c>
      <c r="CO389" s="300" t="s">
        <v>257</v>
      </c>
      <c r="CP389" s="299">
        <v>755</v>
      </c>
      <c r="CQ389" s="299">
        <v>112</v>
      </c>
      <c r="CR389" s="294" t="s">
        <v>358</v>
      </c>
      <c r="CS389" s="294" t="s">
        <v>363</v>
      </c>
      <c r="CT389" s="294" t="s">
        <v>365</v>
      </c>
      <c r="CU389" s="301">
        <v>0</v>
      </c>
      <c r="FH389">
        <v>40</v>
      </c>
      <c r="FI389" t="s">
        <v>1198</v>
      </c>
      <c r="FJ389" t="s">
        <v>1199</v>
      </c>
      <c r="FK389" t="s">
        <v>695</v>
      </c>
      <c r="FL389" s="286">
        <v>12320</v>
      </c>
      <c r="FM389" s="286">
        <v>1115520</v>
      </c>
      <c r="FN389" s="286">
        <v>49976836</v>
      </c>
      <c r="FO389" s="286">
        <v>23954870</v>
      </c>
      <c r="FP389">
        <v>41</v>
      </c>
      <c r="FQ389" s="925">
        <v>143.17663014662168</v>
      </c>
      <c r="FR389" s="926">
        <v>159716394.46115941</v>
      </c>
      <c r="FS389">
        <v>0</v>
      </c>
    </row>
    <row r="390" spans="76:178">
      <c r="BX390" s="623"/>
      <c r="BY390" t="s">
        <v>1566</v>
      </c>
      <c r="BZ390" t="s">
        <v>1567</v>
      </c>
      <c r="CA390">
        <v>1</v>
      </c>
      <c r="CB390">
        <v>1</v>
      </c>
      <c r="CC390" t="s">
        <v>700</v>
      </c>
      <c r="CD390" s="286">
        <v>113240</v>
      </c>
      <c r="CE390" s="296">
        <v>902760</v>
      </c>
      <c r="CF390" s="261">
        <v>177653196</v>
      </c>
      <c r="CG390" s="261">
        <v>71362498</v>
      </c>
      <c r="CH390" s="202">
        <v>40</v>
      </c>
      <c r="CI390" s="261">
        <f t="shared" si="131"/>
        <v>7527.5208983860784</v>
      </c>
      <c r="CJ390" s="261">
        <f t="shared" si="132"/>
        <v>6795544766.2270164</v>
      </c>
      <c r="CL390">
        <v>48520</v>
      </c>
      <c r="CM390" s="299">
        <v>2019</v>
      </c>
      <c r="CN390" s="299">
        <v>2670</v>
      </c>
      <c r="CO390" s="300" t="s">
        <v>257</v>
      </c>
      <c r="CP390" s="299">
        <v>755</v>
      </c>
      <c r="CQ390" s="299">
        <v>113</v>
      </c>
      <c r="CR390" s="294" t="s">
        <v>358</v>
      </c>
      <c r="CS390" s="294" t="s">
        <v>363</v>
      </c>
      <c r="CT390" s="294" t="s">
        <v>366</v>
      </c>
      <c r="CU390" s="301">
        <v>40879000</v>
      </c>
      <c r="FH390">
        <v>48</v>
      </c>
      <c r="FI390" t="s">
        <v>1200</v>
      </c>
      <c r="FJ390" t="s">
        <v>1201</v>
      </c>
      <c r="FK390" t="s">
        <v>695</v>
      </c>
      <c r="FL390" s="286">
        <v>3000</v>
      </c>
      <c r="FM390" s="286">
        <v>221760</v>
      </c>
      <c r="FN390" s="286">
        <v>22636960</v>
      </c>
      <c r="FO390" s="286">
        <v>8342853.9999999991</v>
      </c>
      <c r="FP390">
        <v>41</v>
      </c>
      <c r="FQ390" s="925">
        <v>143.17663014662168</v>
      </c>
      <c r="FR390" s="926">
        <v>31750849.501314823</v>
      </c>
      <c r="FS390">
        <v>0</v>
      </c>
    </row>
    <row r="391" spans="76:178">
      <c r="BX391" s="623"/>
      <c r="BY391" t="s">
        <v>1568</v>
      </c>
      <c r="BZ391" t="s">
        <v>1569</v>
      </c>
      <c r="CA391">
        <v>1</v>
      </c>
      <c r="CB391">
        <v>1</v>
      </c>
      <c r="CC391" t="s">
        <v>700</v>
      </c>
      <c r="CD391" s="286">
        <v>2640</v>
      </c>
      <c r="CE391" s="296">
        <v>35440</v>
      </c>
      <c r="CF391" s="261">
        <v>2950280</v>
      </c>
      <c r="CG391" s="261">
        <v>1815389</v>
      </c>
      <c r="CH391" s="202">
        <v>40</v>
      </c>
      <c r="CI391" s="261">
        <f t="shared" si="131"/>
        <v>7527.5208983860784</v>
      </c>
      <c r="CJ391" s="261">
        <f t="shared" si="132"/>
        <v>266775340.63880262</v>
      </c>
      <c r="CL391">
        <v>4996364</v>
      </c>
      <c r="CM391" s="299">
        <v>2019</v>
      </c>
      <c r="CN391" s="299">
        <v>2670</v>
      </c>
      <c r="CO391" s="300" t="s">
        <v>257</v>
      </c>
      <c r="CP391" s="299">
        <v>755</v>
      </c>
      <c r="CQ391" s="299">
        <v>114</v>
      </c>
      <c r="CR391" s="294" t="s">
        <v>358</v>
      </c>
      <c r="CS391" s="294" t="s">
        <v>367</v>
      </c>
      <c r="CT391" s="294" t="s">
        <v>368</v>
      </c>
      <c r="CU391" s="301">
        <v>199252270000</v>
      </c>
      <c r="FL391" s="286">
        <f>SUM(FL316:FL390)</f>
        <v>2431227</v>
      </c>
      <c r="FM391" s="286">
        <f>SUM(FM316:FM390)</f>
        <v>202954767</v>
      </c>
      <c r="FN391" s="286"/>
      <c r="FO391" s="286"/>
      <c r="FQ391" s="925">
        <f>FR391/FM391</f>
        <v>957.09489766620266</v>
      </c>
      <c r="FR391" s="408">
        <f>SUM(FR316:FR390)</f>
        <v>194246971952.733</v>
      </c>
      <c r="FT391" s="927">
        <f>-1*(PMT($EA$23,$EA$24,FQ391,$EA$25*FQ391)/(365*24))</f>
        <v>0.12398530706296883</v>
      </c>
      <c r="FU391" s="790">
        <f>FT391*FV391</f>
        <v>10.350086234805838</v>
      </c>
      <c r="FV391" s="788">
        <f>FM391/FL391</f>
        <v>83.47832884383071</v>
      </c>
    </row>
    <row r="392" spans="76:178">
      <c r="BX392" s="623"/>
      <c r="BY392" t="s">
        <v>1570</v>
      </c>
      <c r="BZ392" t="s">
        <v>1571</v>
      </c>
      <c r="CA392">
        <v>1</v>
      </c>
      <c r="CB392">
        <v>1</v>
      </c>
      <c r="CC392" t="s">
        <v>700</v>
      </c>
      <c r="CD392" s="286">
        <v>22120</v>
      </c>
      <c r="CE392" s="296">
        <v>186560</v>
      </c>
      <c r="CF392" s="261">
        <v>25156520</v>
      </c>
      <c r="CG392" s="261">
        <v>15664700</v>
      </c>
      <c r="CH392" s="202">
        <v>43</v>
      </c>
      <c r="CI392" s="261">
        <f t="shared" si="131"/>
        <v>3813.5322149585168</v>
      </c>
      <c r="CJ392" s="261">
        <f t="shared" si="132"/>
        <v>711452570.02266085</v>
      </c>
      <c r="CL392">
        <v>6080</v>
      </c>
      <c r="CM392" s="299">
        <v>2019</v>
      </c>
      <c r="CN392" s="299">
        <v>2670</v>
      </c>
      <c r="CO392" s="300" t="s">
        <v>257</v>
      </c>
      <c r="CP392" s="299">
        <v>755</v>
      </c>
      <c r="CQ392" s="299">
        <v>115</v>
      </c>
      <c r="CR392" s="294" t="s">
        <v>369</v>
      </c>
      <c r="CS392" s="294" t="s">
        <v>370</v>
      </c>
      <c r="CT392" s="294" t="s">
        <v>371</v>
      </c>
      <c r="CU392" s="301">
        <v>3034188</v>
      </c>
      <c r="FL392" s="286"/>
      <c r="FM392" s="286"/>
      <c r="FN392" s="286"/>
      <c r="FO392" s="286"/>
      <c r="FQ392" s="925"/>
      <c r="FR392" s="926"/>
    </row>
    <row r="393" spans="76:178">
      <c r="BX393" s="623"/>
      <c r="BY393" t="s">
        <v>1073</v>
      </c>
      <c r="BZ393" t="s">
        <v>1074</v>
      </c>
      <c r="CA393">
        <v>1</v>
      </c>
      <c r="CB393">
        <v>1</v>
      </c>
      <c r="CC393" t="s">
        <v>700</v>
      </c>
      <c r="CD393" s="286">
        <v>1440</v>
      </c>
      <c r="CE393" s="296">
        <v>9080</v>
      </c>
      <c r="CF393" s="261">
        <v>4748160</v>
      </c>
      <c r="CG393" s="261">
        <v>1093495</v>
      </c>
      <c r="CH393" s="202">
        <v>36</v>
      </c>
      <c r="CI393" s="261">
        <f t="shared" si="131"/>
        <v>7463.6077432689826</v>
      </c>
      <c r="CJ393" s="261">
        <f t="shared" si="132"/>
        <v>67769558.308882356</v>
      </c>
      <c r="CL393">
        <v>16080</v>
      </c>
      <c r="CM393" s="299">
        <v>2019</v>
      </c>
      <c r="CN393" s="299">
        <v>2670</v>
      </c>
      <c r="CO393" s="300" t="s">
        <v>257</v>
      </c>
      <c r="CP393" s="299">
        <v>755</v>
      </c>
      <c r="CQ393" s="299">
        <v>116</v>
      </c>
      <c r="CR393" s="294" t="s">
        <v>369</v>
      </c>
      <c r="CS393" s="294" t="s">
        <v>372</v>
      </c>
      <c r="CT393" s="294" t="s">
        <v>373</v>
      </c>
      <c r="CU393" s="301">
        <v>588417</v>
      </c>
      <c r="FH393">
        <v>37</v>
      </c>
      <c r="FI393" t="s">
        <v>1202</v>
      </c>
      <c r="FJ393" t="s">
        <v>1203</v>
      </c>
      <c r="FK393" t="s">
        <v>693</v>
      </c>
      <c r="FL393" s="286">
        <v>1187920</v>
      </c>
      <c r="FM393" s="286">
        <v>25970920</v>
      </c>
      <c r="FN393" s="286">
        <v>3557289473</v>
      </c>
      <c r="FO393" s="286">
        <v>2733327140</v>
      </c>
      <c r="FP393">
        <v>36</v>
      </c>
      <c r="FQ393" s="925">
        <v>7463.6077432689826</v>
      </c>
      <c r="FR393" s="926">
        <v>193836759611.81927</v>
      </c>
      <c r="FS393">
        <v>0</v>
      </c>
    </row>
    <row r="394" spans="76:178">
      <c r="BX394" s="623"/>
      <c r="BY394" t="s">
        <v>1206</v>
      </c>
      <c r="BZ394" t="s">
        <v>1207</v>
      </c>
      <c r="CA394">
        <v>1</v>
      </c>
      <c r="CB394">
        <v>1</v>
      </c>
      <c r="CC394" t="s">
        <v>700</v>
      </c>
      <c r="CD394" s="286">
        <v>9960</v>
      </c>
      <c r="CE394" s="296">
        <v>171320</v>
      </c>
      <c r="CF394" s="261">
        <v>12521720</v>
      </c>
      <c r="CG394" s="261">
        <v>9925944</v>
      </c>
      <c r="CH394" s="202">
        <v>36</v>
      </c>
      <c r="CI394" s="261">
        <f t="shared" si="131"/>
        <v>7463.6077432689826</v>
      </c>
      <c r="CJ394" s="261">
        <f t="shared" si="132"/>
        <v>1278665278.5768421</v>
      </c>
      <c r="CL394">
        <v>902760</v>
      </c>
      <c r="CM394" s="299">
        <v>2019</v>
      </c>
      <c r="CN394" s="299">
        <v>2670</v>
      </c>
      <c r="CO394" s="300" t="s">
        <v>257</v>
      </c>
      <c r="CP394" s="299">
        <v>755</v>
      </c>
      <c r="CQ394" s="299">
        <v>117</v>
      </c>
      <c r="CR394" s="294" t="s">
        <v>374</v>
      </c>
      <c r="CS394" s="294" t="s">
        <v>375</v>
      </c>
      <c r="CT394" s="294" t="s">
        <v>376</v>
      </c>
      <c r="CU394" s="301">
        <v>1634797</v>
      </c>
      <c r="FH394">
        <v>37</v>
      </c>
      <c r="FI394" t="s">
        <v>1204</v>
      </c>
      <c r="FJ394" t="s">
        <v>1205</v>
      </c>
      <c r="FK394" t="s">
        <v>693</v>
      </c>
      <c r="FL394" s="286">
        <v>499680</v>
      </c>
      <c r="FM394" s="286">
        <v>9970040</v>
      </c>
      <c r="FN394" s="286">
        <v>1483439187</v>
      </c>
      <c r="FO394" s="286">
        <v>1087062303</v>
      </c>
      <c r="FP394">
        <v>36</v>
      </c>
      <c r="FQ394" s="925">
        <v>7463.6077432689826</v>
      </c>
      <c r="FR394" s="926">
        <v>74412467744.701492</v>
      </c>
      <c r="FS394">
        <v>0</v>
      </c>
    </row>
    <row r="395" spans="76:178">
      <c r="BX395" s="623"/>
      <c r="BY395" t="s">
        <v>1220</v>
      </c>
      <c r="BZ395" t="s">
        <v>1221</v>
      </c>
      <c r="CA395">
        <v>1</v>
      </c>
      <c r="CB395">
        <v>1</v>
      </c>
      <c r="CC395" t="s">
        <v>699</v>
      </c>
      <c r="CD395" s="286">
        <v>113120</v>
      </c>
      <c r="CE395" s="296">
        <v>452480</v>
      </c>
      <c r="CF395" s="261">
        <v>62223174</v>
      </c>
      <c r="CG395" s="261">
        <v>52116567</v>
      </c>
      <c r="CH395" s="202">
        <v>36</v>
      </c>
      <c r="CI395" s="261">
        <f t="shared" si="131"/>
        <v>7463.6077432689826</v>
      </c>
      <c r="CJ395" s="261">
        <f t="shared" si="132"/>
        <v>3377133231.6743493</v>
      </c>
      <c r="CL395">
        <v>35440</v>
      </c>
      <c r="CM395" s="299">
        <v>2019</v>
      </c>
      <c r="CN395" s="299">
        <v>2670</v>
      </c>
      <c r="CO395" s="300" t="s">
        <v>257</v>
      </c>
      <c r="CP395" s="299">
        <v>755</v>
      </c>
      <c r="CQ395" s="299">
        <v>118</v>
      </c>
      <c r="CR395" s="294" t="s">
        <v>417</v>
      </c>
      <c r="CS395" s="294" t="s">
        <v>418</v>
      </c>
      <c r="CT395" s="294" t="s">
        <v>419</v>
      </c>
      <c r="CU395" s="301">
        <v>1050814</v>
      </c>
      <c r="FH395">
        <v>41</v>
      </c>
      <c r="FI395" t="s">
        <v>1206</v>
      </c>
      <c r="FJ395" t="s">
        <v>1207</v>
      </c>
      <c r="FK395" t="s">
        <v>693</v>
      </c>
      <c r="FL395" s="286">
        <v>4160</v>
      </c>
      <c r="FM395" s="286">
        <v>82520</v>
      </c>
      <c r="FN395" s="286">
        <v>20096840</v>
      </c>
      <c r="FO395" s="286">
        <v>10444730</v>
      </c>
      <c r="FP395">
        <v>36</v>
      </c>
      <c r="FQ395" s="925">
        <v>7463.6077432689826</v>
      </c>
      <c r="FR395" s="926">
        <v>615896910.97455645</v>
      </c>
      <c r="FS395">
        <v>0</v>
      </c>
    </row>
    <row r="396" spans="76:178">
      <c r="BX396" s="623"/>
      <c r="BY396" t="s">
        <v>1220</v>
      </c>
      <c r="BZ396" t="s">
        <v>1221</v>
      </c>
      <c r="CA396">
        <v>1</v>
      </c>
      <c r="CB396">
        <v>1</v>
      </c>
      <c r="CC396" t="s">
        <v>700</v>
      </c>
      <c r="CD396" s="286">
        <v>1465560</v>
      </c>
      <c r="CE396" s="296">
        <v>5862240</v>
      </c>
      <c r="CF396" s="261">
        <v>645160330</v>
      </c>
      <c r="CG396" s="261">
        <v>737907896</v>
      </c>
      <c r="CH396" s="202">
        <v>37</v>
      </c>
      <c r="CI396" s="261">
        <f t="shared" si="131"/>
        <v>21849.362803561351</v>
      </c>
      <c r="CJ396" s="261">
        <f t="shared" si="132"/>
        <v>128086208601.5495</v>
      </c>
      <c r="CL396">
        <v>186560</v>
      </c>
      <c r="CM396" s="299">
        <v>2019</v>
      </c>
      <c r="CN396" s="299">
        <v>2670</v>
      </c>
      <c r="CO396" s="300" t="s">
        <v>257</v>
      </c>
      <c r="CP396" s="299">
        <v>755</v>
      </c>
      <c r="CQ396" s="299">
        <v>119</v>
      </c>
      <c r="CR396" s="294" t="s">
        <v>417</v>
      </c>
      <c r="CS396" s="294" t="s">
        <v>418</v>
      </c>
      <c r="CT396" s="294" t="s">
        <v>420</v>
      </c>
      <c r="CU396" s="301">
        <v>0</v>
      </c>
      <c r="FL396" s="286">
        <f>SUM(FL393:FL395)</f>
        <v>1691760</v>
      </c>
      <c r="FM396" s="286">
        <f>SUM(FM393:FM395)</f>
        <v>36023480</v>
      </c>
      <c r="FQ396" s="925">
        <f>FR396/FM396</f>
        <v>7463.6077432689817</v>
      </c>
      <c r="FR396" s="408">
        <f>SUM(FR393:FR395)</f>
        <v>268865124267.4953</v>
      </c>
      <c r="FT396" s="927">
        <f>-1*(PMT($EA$23,$EA$24,FQ396,$EA$25*FQ396)/(365*24))</f>
        <v>0.96686096655954823</v>
      </c>
      <c r="FU396" s="790">
        <f>FT396*FV396</f>
        <v>20.587847384758213</v>
      </c>
      <c r="FV396" s="788">
        <f>FM396/FL396</f>
        <v>21.293493166879461</v>
      </c>
    </row>
    <row r="397" spans="76:178">
      <c r="BX397" s="623"/>
      <c r="BY397" t="s">
        <v>891</v>
      </c>
      <c r="BZ397" t="s">
        <v>892</v>
      </c>
      <c r="CA397">
        <v>1</v>
      </c>
      <c r="CB397">
        <v>1</v>
      </c>
      <c r="CC397" t="s">
        <v>700</v>
      </c>
      <c r="CD397" s="286">
        <v>3160</v>
      </c>
      <c r="CE397" s="296">
        <v>42800</v>
      </c>
      <c r="CF397" s="261">
        <v>3806280</v>
      </c>
      <c r="CG397" s="261">
        <v>2887771</v>
      </c>
      <c r="CH397" s="202">
        <v>26</v>
      </c>
      <c r="CI397" s="261">
        <f t="shared" si="131"/>
        <v>528.3954317970871</v>
      </c>
      <c r="CJ397" s="261">
        <f t="shared" si="132"/>
        <v>22615324.480915327</v>
      </c>
      <c r="CL397">
        <v>9080</v>
      </c>
      <c r="CM397" s="299">
        <v>2019</v>
      </c>
      <c r="CN397" s="299">
        <v>2670</v>
      </c>
      <c r="CO397" s="300" t="s">
        <v>257</v>
      </c>
      <c r="CP397" s="299">
        <v>755</v>
      </c>
      <c r="CQ397" s="299">
        <v>120</v>
      </c>
      <c r="CR397" s="294" t="s">
        <v>421</v>
      </c>
      <c r="CS397" s="294" t="s">
        <v>422</v>
      </c>
      <c r="CT397" s="294" t="s">
        <v>322</v>
      </c>
      <c r="CU397" s="301">
        <v>1063273</v>
      </c>
    </row>
    <row r="398" spans="76:178">
      <c r="BX398" s="623"/>
      <c r="BY398" t="s">
        <v>1222</v>
      </c>
      <c r="BZ398" t="s">
        <v>782</v>
      </c>
      <c r="CA398">
        <v>1</v>
      </c>
      <c r="CB398">
        <v>1</v>
      </c>
      <c r="CC398" t="s">
        <v>699</v>
      </c>
      <c r="CD398" s="286">
        <v>44480</v>
      </c>
      <c r="CE398" s="296">
        <v>662680</v>
      </c>
      <c r="CF398" s="261">
        <v>80471080</v>
      </c>
      <c r="CG398" s="261">
        <v>35569934</v>
      </c>
      <c r="CH398" s="202">
        <v>43</v>
      </c>
      <c r="CI398" s="261">
        <f t="shared" si="131"/>
        <v>3813.5322149585168</v>
      </c>
      <c r="CJ398" s="261">
        <f t="shared" si="132"/>
        <v>2527151528.2087097</v>
      </c>
      <c r="CL398">
        <v>171320</v>
      </c>
      <c r="CM398" s="299">
        <v>2019</v>
      </c>
      <c r="CN398" s="299">
        <v>2670</v>
      </c>
      <c r="CO398" s="300" t="s">
        <v>257</v>
      </c>
      <c r="CP398" s="299">
        <v>755</v>
      </c>
      <c r="CQ398" s="299">
        <v>121</v>
      </c>
      <c r="CR398" s="294" t="s">
        <v>421</v>
      </c>
      <c r="CS398" s="294" t="s">
        <v>422</v>
      </c>
      <c r="CT398" s="294" t="s">
        <v>323</v>
      </c>
      <c r="CU398" s="301">
        <v>2999171</v>
      </c>
      <c r="FL398" s="286">
        <f>FL396+FL391+FL314+FL308+FL306+FL304+FL297+FL291+FL285+FL274+FL242+FL242+FL226+FL157+FL138</f>
        <v>9159456</v>
      </c>
      <c r="FM398" s="286">
        <f>FM396+FM391+FM314+FM308+FM306+FM304+FM297+FM291+FM285+FM274+FM242+FM242+FM226+FM157+FM138</f>
        <v>684866523</v>
      </c>
      <c r="FQ398" s="925">
        <f>FR398/FM398</f>
        <v>1506.6752381309987</v>
      </c>
      <c r="FR398" s="408">
        <f>FR396+FR391+FR314+FR308+FR306+FR304+FR297+FR291+FR285+FR274+FR242+FR242+FR226+FR157+FR138</f>
        <v>1031871431628.974</v>
      </c>
      <c r="FT398" s="927">
        <f>-1*(PMT($EA$23,$EA$24,FQ398,$EA$25*FQ398)/(365*24))</f>
        <v>0.19517980139623944</v>
      </c>
      <c r="FU398" s="790">
        <f>FT398*FV398</f>
        <v>14.593892032678912</v>
      </c>
      <c r="FV398" s="788">
        <f>FM398/FL398</f>
        <v>74.771528243598752</v>
      </c>
    </row>
    <row r="399" spans="76:178">
      <c r="BX399" s="623"/>
      <c r="BY399" t="s">
        <v>1222</v>
      </c>
      <c r="BZ399" t="s">
        <v>782</v>
      </c>
      <c r="CA399">
        <v>1</v>
      </c>
      <c r="CB399">
        <v>1</v>
      </c>
      <c r="CC399" t="s">
        <v>700</v>
      </c>
      <c r="CD399" s="286">
        <v>294080</v>
      </c>
      <c r="CE399" s="296">
        <v>4465280</v>
      </c>
      <c r="CF399" s="261">
        <v>474588604</v>
      </c>
      <c r="CG399" s="261">
        <v>242704486</v>
      </c>
      <c r="CH399" s="202">
        <v>43</v>
      </c>
      <c r="CI399" s="261">
        <f t="shared" si="131"/>
        <v>3813.5322149585168</v>
      </c>
      <c r="CJ399" s="261">
        <f t="shared" si="132"/>
        <v>17028489128.809965</v>
      </c>
      <c r="CL399">
        <v>5862240</v>
      </c>
      <c r="CM399" s="299">
        <v>2019</v>
      </c>
      <c r="CN399" s="299">
        <v>2670</v>
      </c>
      <c r="CO399" s="300" t="s">
        <v>257</v>
      </c>
      <c r="CP399" s="299">
        <v>755</v>
      </c>
      <c r="CQ399" s="299">
        <v>122</v>
      </c>
      <c r="CR399" s="294" t="s">
        <v>421</v>
      </c>
      <c r="CS399" s="294" t="s">
        <v>422</v>
      </c>
      <c r="CT399" s="294" t="s">
        <v>325</v>
      </c>
      <c r="CU399" s="301">
        <v>4383780</v>
      </c>
    </row>
    <row r="400" spans="76:178">
      <c r="BX400" s="623"/>
      <c r="BY400" t="s">
        <v>1223</v>
      </c>
      <c r="BZ400" t="s">
        <v>1224</v>
      </c>
      <c r="CA400">
        <v>1</v>
      </c>
      <c r="CB400">
        <v>1</v>
      </c>
      <c r="CC400" t="s">
        <v>699</v>
      </c>
      <c r="CD400" s="286">
        <v>207480</v>
      </c>
      <c r="CE400" s="296">
        <v>3411560</v>
      </c>
      <c r="CF400" s="261">
        <v>300602147</v>
      </c>
      <c r="CG400" s="261">
        <v>160054355</v>
      </c>
      <c r="CH400" s="202">
        <v>43</v>
      </c>
      <c r="CI400" s="261">
        <f t="shared" si="131"/>
        <v>3813.5322149585168</v>
      </c>
      <c r="CJ400" s="261">
        <f t="shared" si="132"/>
        <v>13010093963.263878</v>
      </c>
      <c r="CL400">
        <v>42800</v>
      </c>
      <c r="CM400" s="299">
        <v>2019</v>
      </c>
      <c r="CN400" s="299">
        <v>2670</v>
      </c>
      <c r="CO400" s="300" t="s">
        <v>257</v>
      </c>
      <c r="CP400" s="299">
        <v>755</v>
      </c>
      <c r="CQ400" s="299">
        <v>123</v>
      </c>
      <c r="CR400" s="294" t="s">
        <v>423</v>
      </c>
      <c r="CS400" s="294" t="s">
        <v>424</v>
      </c>
      <c r="CT400" s="294" t="s">
        <v>425</v>
      </c>
      <c r="CU400" s="301">
        <v>4604194</v>
      </c>
    </row>
    <row r="401" spans="76:99">
      <c r="BX401" s="623"/>
      <c r="BY401" t="s">
        <v>1223</v>
      </c>
      <c r="BZ401" t="s">
        <v>1224</v>
      </c>
      <c r="CA401">
        <v>1</v>
      </c>
      <c r="CB401">
        <v>1</v>
      </c>
      <c r="CC401" t="s">
        <v>700</v>
      </c>
      <c r="CD401" s="286">
        <v>9380200</v>
      </c>
      <c r="CE401" s="296">
        <v>127876560</v>
      </c>
      <c r="CF401" s="261">
        <v>9387228622</v>
      </c>
      <c r="CG401" s="261">
        <v>6615243290</v>
      </c>
      <c r="CH401" s="202">
        <v>43</v>
      </c>
      <c r="CI401" s="261">
        <f t="shared" si="131"/>
        <v>3813.5322149585168</v>
      </c>
      <c r="CJ401" s="261">
        <f t="shared" si="132"/>
        <v>487661381098.07568</v>
      </c>
      <c r="CL401">
        <v>4465280</v>
      </c>
      <c r="CM401" s="299">
        <v>2019</v>
      </c>
      <c r="CN401" s="299">
        <v>2670</v>
      </c>
      <c r="CO401" s="300" t="s">
        <v>257</v>
      </c>
      <c r="CP401" s="299">
        <v>755</v>
      </c>
      <c r="CQ401" s="299">
        <v>124</v>
      </c>
      <c r="CR401" s="294" t="s">
        <v>426</v>
      </c>
      <c r="CS401" s="294" t="s">
        <v>427</v>
      </c>
      <c r="CT401" s="294" t="s">
        <v>428</v>
      </c>
      <c r="CU401" s="301">
        <v>5061004</v>
      </c>
    </row>
    <row r="402" spans="76:99">
      <c r="BX402" s="623"/>
      <c r="BY402" t="s">
        <v>1572</v>
      </c>
      <c r="BZ402" t="s">
        <v>1573</v>
      </c>
      <c r="CA402">
        <v>1</v>
      </c>
      <c r="CB402">
        <v>1</v>
      </c>
      <c r="CC402" t="s">
        <v>700</v>
      </c>
      <c r="CD402" s="286">
        <v>42680</v>
      </c>
      <c r="CE402" s="296">
        <v>442880</v>
      </c>
      <c r="CF402" s="261">
        <v>48173260</v>
      </c>
      <c r="CG402" s="261">
        <v>28521623</v>
      </c>
      <c r="CH402" s="202">
        <v>43</v>
      </c>
      <c r="CI402" s="261">
        <f t="shared" si="131"/>
        <v>3813.5322149585168</v>
      </c>
      <c r="CJ402" s="261">
        <f t="shared" si="132"/>
        <v>1688937147.3608279</v>
      </c>
      <c r="CL402">
        <v>127876560</v>
      </c>
      <c r="CM402" s="299">
        <v>2019</v>
      </c>
      <c r="CN402" s="299">
        <v>2670</v>
      </c>
      <c r="CO402" s="300" t="s">
        <v>257</v>
      </c>
      <c r="CP402" s="299">
        <v>755</v>
      </c>
      <c r="CQ402" s="299">
        <v>125</v>
      </c>
      <c r="CR402" s="294" t="s">
        <v>429</v>
      </c>
      <c r="CS402" s="294" t="s">
        <v>430</v>
      </c>
      <c r="CT402" s="294" t="s">
        <v>431</v>
      </c>
      <c r="CU402" s="301">
        <v>0</v>
      </c>
    </row>
    <row r="403" spans="76:99">
      <c r="BX403" s="623"/>
      <c r="BY403" t="s">
        <v>1225</v>
      </c>
      <c r="BZ403" t="s">
        <v>1226</v>
      </c>
      <c r="CA403">
        <v>1</v>
      </c>
      <c r="CB403">
        <v>1</v>
      </c>
      <c r="CC403" t="s">
        <v>699</v>
      </c>
      <c r="CD403" s="286">
        <v>53280</v>
      </c>
      <c r="CE403" s="296">
        <v>529560</v>
      </c>
      <c r="CF403" s="261">
        <v>108942520</v>
      </c>
      <c r="CG403" s="261">
        <v>45708819</v>
      </c>
      <c r="CH403" s="202">
        <v>43</v>
      </c>
      <c r="CI403" s="261">
        <f t="shared" si="131"/>
        <v>3813.5322149585168</v>
      </c>
      <c r="CJ403" s="261">
        <f t="shared" si="132"/>
        <v>2019494119.753432</v>
      </c>
      <c r="CL403">
        <v>442880</v>
      </c>
      <c r="CM403" s="299">
        <v>2019</v>
      </c>
      <c r="CN403" s="299">
        <v>2670</v>
      </c>
      <c r="CO403" s="300" t="s">
        <v>257</v>
      </c>
      <c r="CP403" s="299">
        <v>755</v>
      </c>
      <c r="CQ403" s="299">
        <v>126</v>
      </c>
      <c r="CR403" s="294" t="s">
        <v>432</v>
      </c>
      <c r="CS403" s="294" t="s">
        <v>433</v>
      </c>
      <c r="CT403" s="294" t="s">
        <v>434</v>
      </c>
      <c r="CU403" s="301">
        <v>11470433</v>
      </c>
    </row>
    <row r="404" spans="76:99">
      <c r="BX404" s="623"/>
      <c r="BY404" t="s">
        <v>1225</v>
      </c>
      <c r="BZ404" t="s">
        <v>1226</v>
      </c>
      <c r="CA404">
        <v>1</v>
      </c>
      <c r="CB404">
        <v>1</v>
      </c>
      <c r="CC404" t="s">
        <v>700</v>
      </c>
      <c r="CD404" s="286">
        <v>110080</v>
      </c>
      <c r="CE404" s="296">
        <v>1167960</v>
      </c>
      <c r="CF404" s="261">
        <v>235160520</v>
      </c>
      <c r="CG404" s="261">
        <v>89940447</v>
      </c>
      <c r="CH404" s="202">
        <v>43</v>
      </c>
      <c r="CI404" s="261">
        <f t="shared" si="131"/>
        <v>3813.5322149585168</v>
      </c>
      <c r="CJ404" s="261">
        <f t="shared" si="132"/>
        <v>4454053085.7829494</v>
      </c>
      <c r="CL404">
        <v>1167960</v>
      </c>
      <c r="CM404" s="299">
        <v>2019</v>
      </c>
      <c r="CN404" s="299">
        <v>2670</v>
      </c>
      <c r="CO404" s="300" t="s">
        <v>257</v>
      </c>
      <c r="CP404" s="299">
        <v>755</v>
      </c>
      <c r="CQ404" s="299">
        <v>127</v>
      </c>
      <c r="CR404" s="294" t="s">
        <v>432</v>
      </c>
      <c r="CS404" s="294" t="s">
        <v>433</v>
      </c>
      <c r="CT404" s="294" t="s">
        <v>435</v>
      </c>
      <c r="CU404" s="301">
        <v>3064178</v>
      </c>
    </row>
    <row r="405" spans="76:99">
      <c r="BX405" s="623"/>
      <c r="BY405" t="s">
        <v>1038</v>
      </c>
      <c r="BZ405" t="s">
        <v>1039</v>
      </c>
      <c r="CA405">
        <v>1</v>
      </c>
      <c r="CB405">
        <v>1</v>
      </c>
      <c r="CC405" t="s">
        <v>700</v>
      </c>
      <c r="CD405" s="286">
        <v>2720</v>
      </c>
      <c r="CE405" s="296">
        <v>47840</v>
      </c>
      <c r="CF405" s="261">
        <v>2357990</v>
      </c>
      <c r="CG405" s="261">
        <v>823176</v>
      </c>
      <c r="CH405" s="202">
        <v>41</v>
      </c>
      <c r="CI405" s="261">
        <f t="shared" si="131"/>
        <v>143.17663014662168</v>
      </c>
      <c r="CJ405" s="261">
        <f t="shared" si="132"/>
        <v>6849569.9862143807</v>
      </c>
      <c r="CL405">
        <v>47840</v>
      </c>
      <c r="CM405" s="299">
        <v>2019</v>
      </c>
      <c r="CN405" s="299">
        <v>2670</v>
      </c>
      <c r="CO405" s="300" t="s">
        <v>257</v>
      </c>
      <c r="CP405" s="299">
        <v>755</v>
      </c>
      <c r="CQ405" s="299">
        <v>128</v>
      </c>
      <c r="CR405" s="294" t="s">
        <v>432</v>
      </c>
      <c r="CS405" s="294" t="s">
        <v>433</v>
      </c>
      <c r="CT405" s="294" t="s">
        <v>158</v>
      </c>
      <c r="CU405" s="301">
        <v>1556958</v>
      </c>
    </row>
    <row r="406" spans="76:99">
      <c r="CM406" s="299">
        <v>2019</v>
      </c>
      <c r="CN406" s="299">
        <v>2670</v>
      </c>
      <c r="CO406" s="300" t="s">
        <v>257</v>
      </c>
      <c r="CP406" s="299">
        <v>755</v>
      </c>
      <c r="CQ406" s="299">
        <v>129</v>
      </c>
      <c r="CR406" s="294" t="s">
        <v>432</v>
      </c>
      <c r="CS406" s="294" t="s">
        <v>433</v>
      </c>
      <c r="CT406" s="294" t="s">
        <v>436</v>
      </c>
      <c r="CU406" s="301">
        <v>16091569</v>
      </c>
    </row>
    <row r="407" spans="76:99">
      <c r="CM407" s="299">
        <v>2019</v>
      </c>
      <c r="CN407" s="299">
        <v>2670</v>
      </c>
      <c r="CO407" s="300" t="s">
        <v>257</v>
      </c>
      <c r="CP407" s="299">
        <v>755</v>
      </c>
      <c r="CQ407" s="299">
        <v>130</v>
      </c>
      <c r="CR407" s="294" t="s">
        <v>437</v>
      </c>
      <c r="CS407" s="294" t="s">
        <v>438</v>
      </c>
      <c r="CT407" s="294" t="s">
        <v>439</v>
      </c>
      <c r="CU407" s="301">
        <v>13605</v>
      </c>
    </row>
    <row r="408" spans="76:99">
      <c r="CM408" s="299">
        <v>2019</v>
      </c>
      <c r="CN408" s="299">
        <v>2670</v>
      </c>
      <c r="CO408" s="300" t="s">
        <v>257</v>
      </c>
      <c r="CP408" s="299">
        <v>755</v>
      </c>
      <c r="CQ408" s="299">
        <v>131</v>
      </c>
      <c r="CR408" s="294" t="s">
        <v>437</v>
      </c>
      <c r="CS408" s="294" t="s">
        <v>438</v>
      </c>
      <c r="CT408" s="294" t="s">
        <v>440</v>
      </c>
      <c r="CU408" s="301">
        <v>64</v>
      </c>
    </row>
    <row r="409" spans="76:99">
      <c r="CM409" s="299">
        <v>2019</v>
      </c>
      <c r="CN409" s="299">
        <v>2670</v>
      </c>
      <c r="CO409" s="300" t="s">
        <v>257</v>
      </c>
      <c r="CP409" s="299">
        <v>755</v>
      </c>
      <c r="CQ409" s="299">
        <v>132</v>
      </c>
      <c r="CR409" s="294" t="s">
        <v>437</v>
      </c>
      <c r="CS409" s="294" t="s">
        <v>441</v>
      </c>
      <c r="CT409" s="294" t="s">
        <v>442</v>
      </c>
      <c r="CU409" s="301">
        <v>0</v>
      </c>
    </row>
    <row r="410" spans="76:99">
      <c r="CM410" s="299">
        <v>2019</v>
      </c>
      <c r="CN410" s="299">
        <v>2670</v>
      </c>
      <c r="CO410" s="300" t="s">
        <v>257</v>
      </c>
      <c r="CP410" s="299">
        <v>755</v>
      </c>
      <c r="CQ410" s="299">
        <v>133</v>
      </c>
      <c r="CR410" s="294" t="s">
        <v>437</v>
      </c>
      <c r="CS410" s="294" t="s">
        <v>443</v>
      </c>
      <c r="CT410" s="294" t="s">
        <v>444</v>
      </c>
      <c r="CU410" s="301">
        <v>13669</v>
      </c>
    </row>
    <row r="411" spans="76:99">
      <c r="CM411" s="299">
        <v>2019</v>
      </c>
      <c r="CN411" s="299">
        <v>2670</v>
      </c>
      <c r="CO411" s="300" t="s">
        <v>257</v>
      </c>
      <c r="CP411" s="299">
        <v>755</v>
      </c>
      <c r="CQ411" s="299">
        <v>134</v>
      </c>
      <c r="CR411" s="294" t="s">
        <v>445</v>
      </c>
      <c r="CS411" s="294" t="s">
        <v>446</v>
      </c>
      <c r="CT411" s="294" t="s">
        <v>447</v>
      </c>
      <c r="CU411" s="301">
        <v>453</v>
      </c>
    </row>
    <row r="412" spans="76:99">
      <c r="CM412" s="299">
        <v>2019</v>
      </c>
      <c r="CN412" s="299">
        <v>3050</v>
      </c>
      <c r="CO412" s="300" t="s">
        <v>254</v>
      </c>
      <c r="CP412" s="299">
        <v>755</v>
      </c>
      <c r="CQ412" s="299">
        <v>1</v>
      </c>
      <c r="CR412" s="294" t="s">
        <v>382</v>
      </c>
      <c r="CS412" s="294" t="s">
        <v>383</v>
      </c>
      <c r="CT412" s="294" t="s">
        <v>384</v>
      </c>
      <c r="CU412" s="301">
        <v>32619</v>
      </c>
    </row>
    <row r="413" spans="76:99">
      <c r="CM413" s="299">
        <v>2019</v>
      </c>
      <c r="CN413" s="299">
        <v>3050</v>
      </c>
      <c r="CO413" s="300" t="s">
        <v>254</v>
      </c>
      <c r="CP413" s="299">
        <v>755</v>
      </c>
      <c r="CQ413" s="299">
        <v>2</v>
      </c>
      <c r="CR413" s="294" t="s">
        <v>320</v>
      </c>
      <c r="CS413" s="294" t="s">
        <v>321</v>
      </c>
      <c r="CT413" s="294" t="s">
        <v>322</v>
      </c>
      <c r="CU413" s="301">
        <v>59073862</v>
      </c>
    </row>
    <row r="414" spans="76:99">
      <c r="CM414" s="299">
        <v>2019</v>
      </c>
      <c r="CN414" s="299">
        <v>3050</v>
      </c>
      <c r="CO414" s="300" t="s">
        <v>254</v>
      </c>
      <c r="CP414" s="299">
        <v>755</v>
      </c>
      <c r="CQ414" s="299">
        <v>3</v>
      </c>
      <c r="CR414" s="294" t="s">
        <v>320</v>
      </c>
      <c r="CS414" s="294" t="s">
        <v>321</v>
      </c>
      <c r="CT414" s="294" t="s">
        <v>323</v>
      </c>
      <c r="CU414" s="301">
        <v>6342785</v>
      </c>
    </row>
    <row r="415" spans="76:99">
      <c r="CM415" s="299">
        <v>2019</v>
      </c>
      <c r="CN415" s="299">
        <v>3050</v>
      </c>
      <c r="CO415" s="300" t="s">
        <v>254</v>
      </c>
      <c r="CP415" s="299">
        <v>755</v>
      </c>
      <c r="CQ415" s="299">
        <v>4</v>
      </c>
      <c r="CR415" s="294" t="s">
        <v>320</v>
      </c>
      <c r="CS415" s="294" t="s">
        <v>324</v>
      </c>
      <c r="CT415" s="294" t="s">
        <v>325</v>
      </c>
      <c r="CU415" s="301">
        <v>95976174</v>
      </c>
    </row>
    <row r="416" spans="76:99">
      <c r="CM416" s="299">
        <v>2019</v>
      </c>
      <c r="CN416" s="299">
        <v>3050</v>
      </c>
      <c r="CO416" s="300" t="s">
        <v>254</v>
      </c>
      <c r="CP416" s="299">
        <v>755</v>
      </c>
      <c r="CQ416" s="299">
        <v>5</v>
      </c>
      <c r="CR416" s="294" t="s">
        <v>320</v>
      </c>
      <c r="CS416" s="294" t="s">
        <v>324</v>
      </c>
      <c r="CT416" s="294" t="s">
        <v>326</v>
      </c>
      <c r="CU416" s="301">
        <v>161392821</v>
      </c>
    </row>
    <row r="417" spans="91:99">
      <c r="CM417" s="299">
        <v>2019</v>
      </c>
      <c r="CN417" s="299">
        <v>3050</v>
      </c>
      <c r="CO417" s="300" t="s">
        <v>254</v>
      </c>
      <c r="CP417" s="299">
        <v>755</v>
      </c>
      <c r="CQ417" s="299">
        <v>6</v>
      </c>
      <c r="CR417" s="294" t="s">
        <v>320</v>
      </c>
      <c r="CS417" s="294" t="s">
        <v>327</v>
      </c>
      <c r="CT417" s="294" t="s">
        <v>328</v>
      </c>
      <c r="CU417" s="301">
        <v>0</v>
      </c>
    </row>
    <row r="418" spans="91:99">
      <c r="CM418" s="299">
        <v>2019</v>
      </c>
      <c r="CN418" s="299">
        <v>3050</v>
      </c>
      <c r="CO418" s="300" t="s">
        <v>254</v>
      </c>
      <c r="CP418" s="299">
        <v>755</v>
      </c>
      <c r="CQ418" s="299">
        <v>7</v>
      </c>
      <c r="CR418" s="294" t="s">
        <v>320</v>
      </c>
      <c r="CS418" s="294" t="s">
        <v>324</v>
      </c>
      <c r="CT418" s="294" t="s">
        <v>329</v>
      </c>
      <c r="CU418" s="301">
        <v>161392821</v>
      </c>
    </row>
    <row r="419" spans="91:99">
      <c r="CM419" s="299">
        <v>2019</v>
      </c>
      <c r="CN419" s="299">
        <v>3050</v>
      </c>
      <c r="CO419" s="300" t="s">
        <v>254</v>
      </c>
      <c r="CP419" s="299">
        <v>755</v>
      </c>
      <c r="CQ419" s="299">
        <v>8</v>
      </c>
      <c r="CR419" s="294" t="s">
        <v>330</v>
      </c>
      <c r="CS419" s="294" t="s">
        <v>331</v>
      </c>
      <c r="CT419" s="294" t="s">
        <v>322</v>
      </c>
      <c r="CU419" s="301">
        <v>201301130</v>
      </c>
    </row>
    <row r="420" spans="91:99">
      <c r="CM420" s="299">
        <v>2019</v>
      </c>
      <c r="CN420" s="299">
        <v>3050</v>
      </c>
      <c r="CO420" s="300" t="s">
        <v>254</v>
      </c>
      <c r="CP420" s="299">
        <v>755</v>
      </c>
      <c r="CQ420" s="299">
        <v>9</v>
      </c>
      <c r="CR420" s="294" t="s">
        <v>330</v>
      </c>
      <c r="CS420" s="294" t="s">
        <v>331</v>
      </c>
      <c r="CT420" s="294" t="s">
        <v>323</v>
      </c>
      <c r="CU420" s="301">
        <v>14433053</v>
      </c>
    </row>
    <row r="421" spans="91:99">
      <c r="CM421" s="299">
        <v>2019</v>
      </c>
      <c r="CN421" s="299">
        <v>3050</v>
      </c>
      <c r="CO421" s="300" t="s">
        <v>254</v>
      </c>
      <c r="CP421" s="299">
        <v>755</v>
      </c>
      <c r="CQ421" s="299">
        <v>10</v>
      </c>
      <c r="CR421" s="294" t="s">
        <v>330</v>
      </c>
      <c r="CS421" s="294" t="s">
        <v>332</v>
      </c>
      <c r="CT421" s="294" t="s">
        <v>325</v>
      </c>
      <c r="CU421" s="301">
        <v>316673809</v>
      </c>
    </row>
    <row r="422" spans="91:99">
      <c r="CM422" s="299">
        <v>2019</v>
      </c>
      <c r="CN422" s="299">
        <v>3050</v>
      </c>
      <c r="CO422" s="300" t="s">
        <v>254</v>
      </c>
      <c r="CP422" s="299">
        <v>755</v>
      </c>
      <c r="CQ422" s="299">
        <v>11</v>
      </c>
      <c r="CR422" s="294" t="s">
        <v>330</v>
      </c>
      <c r="CS422" s="294" t="s">
        <v>332</v>
      </c>
      <c r="CT422" s="294" t="s">
        <v>333</v>
      </c>
      <c r="CU422" s="301">
        <v>532407992</v>
      </c>
    </row>
    <row r="423" spans="91:99">
      <c r="CM423" s="299">
        <v>2019</v>
      </c>
      <c r="CN423" s="299">
        <v>3050</v>
      </c>
      <c r="CO423" s="300" t="s">
        <v>254</v>
      </c>
      <c r="CP423" s="299">
        <v>755</v>
      </c>
      <c r="CQ423" s="299">
        <v>12</v>
      </c>
      <c r="CR423" s="294" t="s">
        <v>330</v>
      </c>
      <c r="CS423" s="294" t="s">
        <v>334</v>
      </c>
      <c r="CT423" s="294" t="s">
        <v>335</v>
      </c>
      <c r="CU423" s="301">
        <v>4360897</v>
      </c>
    </row>
    <row r="424" spans="91:99">
      <c r="CM424" s="299">
        <v>2019</v>
      </c>
      <c r="CN424" s="299">
        <v>3050</v>
      </c>
      <c r="CO424" s="300" t="s">
        <v>254</v>
      </c>
      <c r="CP424" s="299">
        <v>755</v>
      </c>
      <c r="CQ424" s="299">
        <v>13</v>
      </c>
      <c r="CR424" s="294" t="s">
        <v>330</v>
      </c>
      <c r="CS424" s="294" t="s">
        <v>336</v>
      </c>
      <c r="CT424" s="294" t="s">
        <v>308</v>
      </c>
      <c r="CU424" s="301">
        <v>14606701</v>
      </c>
    </row>
    <row r="425" spans="91:99">
      <c r="CM425" s="299">
        <v>2019</v>
      </c>
      <c r="CN425" s="299">
        <v>3050</v>
      </c>
      <c r="CO425" s="300" t="s">
        <v>254</v>
      </c>
      <c r="CP425" s="299">
        <v>755</v>
      </c>
      <c r="CQ425" s="299">
        <v>14</v>
      </c>
      <c r="CR425" s="294" t="s">
        <v>330</v>
      </c>
      <c r="CS425" s="294" t="s">
        <v>337</v>
      </c>
      <c r="CT425" s="294" t="s">
        <v>338</v>
      </c>
      <c r="CU425" s="301">
        <v>551375590</v>
      </c>
    </row>
    <row r="426" spans="91:99">
      <c r="CM426" s="299">
        <v>2019</v>
      </c>
      <c r="CN426" s="299">
        <v>3050</v>
      </c>
      <c r="CO426" s="300" t="s">
        <v>254</v>
      </c>
      <c r="CP426" s="299">
        <v>755</v>
      </c>
      <c r="CQ426" s="299">
        <v>15</v>
      </c>
      <c r="CR426" s="294" t="s">
        <v>385</v>
      </c>
      <c r="CS426" s="294" t="s">
        <v>386</v>
      </c>
      <c r="CT426" s="294" t="s">
        <v>387</v>
      </c>
      <c r="CU426" s="301">
        <v>0</v>
      </c>
    </row>
    <row r="427" spans="91:99">
      <c r="CM427" s="299">
        <v>2019</v>
      </c>
      <c r="CN427" s="299">
        <v>3050</v>
      </c>
      <c r="CO427" s="300" t="s">
        <v>254</v>
      </c>
      <c r="CP427" s="299">
        <v>755</v>
      </c>
      <c r="CQ427" s="299">
        <v>16</v>
      </c>
      <c r="CR427" s="294" t="s">
        <v>385</v>
      </c>
      <c r="CS427" s="294" t="s">
        <v>386</v>
      </c>
      <c r="CT427" s="294" t="s">
        <v>388</v>
      </c>
      <c r="CU427" s="301">
        <v>10536000</v>
      </c>
    </row>
    <row r="428" spans="91:99">
      <c r="CM428" s="299">
        <v>2019</v>
      </c>
      <c r="CN428" s="299">
        <v>3050</v>
      </c>
      <c r="CO428" s="300" t="s">
        <v>254</v>
      </c>
      <c r="CP428" s="299">
        <v>755</v>
      </c>
      <c r="CQ428" s="299">
        <v>17</v>
      </c>
      <c r="CR428" s="294" t="s">
        <v>385</v>
      </c>
      <c r="CS428" s="294" t="s">
        <v>386</v>
      </c>
      <c r="CT428" s="294" t="s">
        <v>389</v>
      </c>
      <c r="CU428" s="301">
        <v>103780000</v>
      </c>
    </row>
    <row r="429" spans="91:99">
      <c r="CM429" s="299">
        <v>2019</v>
      </c>
      <c r="CN429" s="299">
        <v>3050</v>
      </c>
      <c r="CO429" s="300" t="s">
        <v>254</v>
      </c>
      <c r="CP429" s="299">
        <v>755</v>
      </c>
      <c r="CQ429" s="299">
        <v>18</v>
      </c>
      <c r="CR429" s="294" t="s">
        <v>385</v>
      </c>
      <c r="CS429" s="294" t="s">
        <v>386</v>
      </c>
      <c r="CT429" s="294" t="s">
        <v>390</v>
      </c>
      <c r="CU429" s="301">
        <v>255964000</v>
      </c>
    </row>
    <row r="430" spans="91:99">
      <c r="CM430" s="299">
        <v>2019</v>
      </c>
      <c r="CN430" s="299">
        <v>3050</v>
      </c>
      <c r="CO430" s="300" t="s">
        <v>254</v>
      </c>
      <c r="CP430" s="299">
        <v>755</v>
      </c>
      <c r="CQ430" s="299">
        <v>19</v>
      </c>
      <c r="CR430" s="294" t="s">
        <v>385</v>
      </c>
      <c r="CS430" s="294" t="s">
        <v>386</v>
      </c>
      <c r="CT430" s="294" t="s">
        <v>391</v>
      </c>
      <c r="CU430" s="301">
        <v>60662000</v>
      </c>
    </row>
    <row r="431" spans="91:99">
      <c r="CM431" s="299">
        <v>2019</v>
      </c>
      <c r="CN431" s="299">
        <v>3050</v>
      </c>
      <c r="CO431" s="300" t="s">
        <v>254</v>
      </c>
      <c r="CP431" s="299">
        <v>755</v>
      </c>
      <c r="CQ431" s="299">
        <v>20</v>
      </c>
      <c r="CR431" s="294" t="s">
        <v>385</v>
      </c>
      <c r="CS431" s="294" t="s">
        <v>386</v>
      </c>
      <c r="CT431" s="294" t="s">
        <v>392</v>
      </c>
      <c r="CU431" s="301">
        <v>746216000</v>
      </c>
    </row>
    <row r="432" spans="91:99">
      <c r="CM432" s="299">
        <v>2019</v>
      </c>
      <c r="CN432" s="299">
        <v>3050</v>
      </c>
      <c r="CO432" s="300" t="s">
        <v>254</v>
      </c>
      <c r="CP432" s="299">
        <v>755</v>
      </c>
      <c r="CQ432" s="299">
        <v>21</v>
      </c>
      <c r="CR432" s="294" t="s">
        <v>385</v>
      </c>
      <c r="CS432" s="294" t="s">
        <v>386</v>
      </c>
      <c r="CT432" s="294" t="s">
        <v>393</v>
      </c>
      <c r="CU432" s="301">
        <v>12795000</v>
      </c>
    </row>
    <row r="433" spans="91:99">
      <c r="CM433" s="299">
        <v>2019</v>
      </c>
      <c r="CN433" s="299">
        <v>3050</v>
      </c>
      <c r="CO433" s="300" t="s">
        <v>254</v>
      </c>
      <c r="CP433" s="299">
        <v>755</v>
      </c>
      <c r="CQ433" s="299">
        <v>22</v>
      </c>
      <c r="CR433" s="294" t="s">
        <v>385</v>
      </c>
      <c r="CS433" s="294" t="s">
        <v>386</v>
      </c>
      <c r="CT433" s="294" t="s">
        <v>394</v>
      </c>
      <c r="CU433" s="301">
        <v>153675000</v>
      </c>
    </row>
    <row r="434" spans="91:99">
      <c r="CM434" s="299">
        <v>2019</v>
      </c>
      <c r="CN434" s="299">
        <v>3050</v>
      </c>
      <c r="CO434" s="300" t="s">
        <v>254</v>
      </c>
      <c r="CP434" s="299">
        <v>755</v>
      </c>
      <c r="CQ434" s="299">
        <v>23</v>
      </c>
      <c r="CR434" s="294" t="s">
        <v>385</v>
      </c>
      <c r="CS434" s="294" t="s">
        <v>386</v>
      </c>
      <c r="CT434" s="294" t="s">
        <v>395</v>
      </c>
      <c r="CU434" s="301">
        <v>15809000</v>
      </c>
    </row>
    <row r="435" spans="91:99">
      <c r="CM435" s="299">
        <v>2019</v>
      </c>
      <c r="CN435" s="299">
        <v>3050</v>
      </c>
      <c r="CO435" s="300" t="s">
        <v>254</v>
      </c>
      <c r="CP435" s="299">
        <v>755</v>
      </c>
      <c r="CQ435" s="299">
        <v>24</v>
      </c>
      <c r="CR435" s="294" t="s">
        <v>385</v>
      </c>
      <c r="CS435" s="294" t="s">
        <v>386</v>
      </c>
      <c r="CT435" s="294" t="s">
        <v>396</v>
      </c>
      <c r="CU435" s="301">
        <v>19329000</v>
      </c>
    </row>
    <row r="436" spans="91:99">
      <c r="CM436" s="299">
        <v>2019</v>
      </c>
      <c r="CN436" s="299">
        <v>3050</v>
      </c>
      <c r="CO436" s="300" t="s">
        <v>254</v>
      </c>
      <c r="CP436" s="299">
        <v>755</v>
      </c>
      <c r="CQ436" s="299">
        <v>25</v>
      </c>
      <c r="CR436" s="294" t="s">
        <v>385</v>
      </c>
      <c r="CS436" s="294" t="s">
        <v>386</v>
      </c>
      <c r="CT436" s="294" t="s">
        <v>397</v>
      </c>
      <c r="CU436" s="301">
        <v>601681000</v>
      </c>
    </row>
    <row r="437" spans="91:99">
      <c r="CM437" s="299">
        <v>2019</v>
      </c>
      <c r="CN437" s="299">
        <v>3050</v>
      </c>
      <c r="CO437" s="300" t="s">
        <v>254</v>
      </c>
      <c r="CP437" s="299">
        <v>755</v>
      </c>
      <c r="CQ437" s="299">
        <v>26</v>
      </c>
      <c r="CR437" s="294" t="s">
        <v>385</v>
      </c>
      <c r="CS437" s="294" t="s">
        <v>386</v>
      </c>
      <c r="CT437" s="294" t="s">
        <v>398</v>
      </c>
      <c r="CU437" s="301">
        <v>71455000</v>
      </c>
    </row>
    <row r="438" spans="91:99">
      <c r="CM438" s="299">
        <v>2019</v>
      </c>
      <c r="CN438" s="299">
        <v>3050</v>
      </c>
      <c r="CO438" s="300" t="s">
        <v>254</v>
      </c>
      <c r="CP438" s="299">
        <v>755</v>
      </c>
      <c r="CQ438" s="299">
        <v>27</v>
      </c>
      <c r="CR438" s="294" t="s">
        <v>385</v>
      </c>
      <c r="CS438" s="294" t="s">
        <v>386</v>
      </c>
      <c r="CT438" s="294" t="s">
        <v>399</v>
      </c>
      <c r="CU438" s="301">
        <v>189000</v>
      </c>
    </row>
    <row r="439" spans="91:99">
      <c r="CM439" s="299">
        <v>2019</v>
      </c>
      <c r="CN439" s="299">
        <v>3050</v>
      </c>
      <c r="CO439" s="300" t="s">
        <v>254</v>
      </c>
      <c r="CP439" s="299">
        <v>755</v>
      </c>
      <c r="CQ439" s="299">
        <v>28</v>
      </c>
      <c r="CR439" s="294" t="s">
        <v>385</v>
      </c>
      <c r="CS439" s="294" t="s">
        <v>386</v>
      </c>
      <c r="CT439" s="294" t="s">
        <v>400</v>
      </c>
      <c r="CU439" s="301">
        <v>82865000</v>
      </c>
    </row>
    <row r="440" spans="91:99">
      <c r="CM440" s="299">
        <v>2019</v>
      </c>
      <c r="CN440" s="299">
        <v>3050</v>
      </c>
      <c r="CO440" s="300" t="s">
        <v>254</v>
      </c>
      <c r="CP440" s="299">
        <v>755</v>
      </c>
      <c r="CQ440" s="299">
        <v>29</v>
      </c>
      <c r="CR440" s="294" t="s">
        <v>385</v>
      </c>
      <c r="CS440" s="294" t="s">
        <v>401</v>
      </c>
      <c r="CT440" s="294" t="s">
        <v>402</v>
      </c>
      <c r="CU440" s="301">
        <v>575000</v>
      </c>
    </row>
    <row r="441" spans="91:99">
      <c r="CM441" s="299">
        <v>2019</v>
      </c>
      <c r="CN441" s="299">
        <v>3050</v>
      </c>
      <c r="CO441" s="300" t="s">
        <v>254</v>
      </c>
      <c r="CP441" s="299">
        <v>755</v>
      </c>
      <c r="CQ441" s="299">
        <v>30</v>
      </c>
      <c r="CR441" s="294" t="s">
        <v>385</v>
      </c>
      <c r="CS441" s="294" t="s">
        <v>401</v>
      </c>
      <c r="CT441" s="294" t="s">
        <v>403</v>
      </c>
      <c r="CU441" s="301">
        <v>2135531000</v>
      </c>
    </row>
    <row r="442" spans="91:99">
      <c r="CM442" s="299">
        <v>2019</v>
      </c>
      <c r="CN442" s="299">
        <v>3050</v>
      </c>
      <c r="CO442" s="300" t="s">
        <v>254</v>
      </c>
      <c r="CP442" s="299">
        <v>755</v>
      </c>
      <c r="CQ442" s="299">
        <v>31</v>
      </c>
      <c r="CR442" s="294" t="s">
        <v>385</v>
      </c>
      <c r="CS442" s="294" t="s">
        <v>404</v>
      </c>
      <c r="CT442" s="294" t="s">
        <v>387</v>
      </c>
      <c r="CU442" s="301">
        <v>0</v>
      </c>
    </row>
    <row r="443" spans="91:99">
      <c r="CM443" s="299">
        <v>2019</v>
      </c>
      <c r="CN443" s="299">
        <v>3050</v>
      </c>
      <c r="CO443" s="300" t="s">
        <v>254</v>
      </c>
      <c r="CP443" s="299">
        <v>755</v>
      </c>
      <c r="CQ443" s="299">
        <v>32</v>
      </c>
      <c r="CR443" s="294" t="s">
        <v>385</v>
      </c>
      <c r="CS443" s="294" t="s">
        <v>404</v>
      </c>
      <c r="CT443" s="294" t="s">
        <v>388</v>
      </c>
      <c r="CU443" s="301">
        <v>8859000</v>
      </c>
    </row>
    <row r="444" spans="91:99">
      <c r="CM444" s="299">
        <v>2019</v>
      </c>
      <c r="CN444" s="299">
        <v>3050</v>
      </c>
      <c r="CO444" s="300" t="s">
        <v>254</v>
      </c>
      <c r="CP444" s="299">
        <v>755</v>
      </c>
      <c r="CQ444" s="299">
        <v>33</v>
      </c>
      <c r="CR444" s="294" t="s">
        <v>385</v>
      </c>
      <c r="CS444" s="294" t="s">
        <v>404</v>
      </c>
      <c r="CT444" s="294" t="s">
        <v>389</v>
      </c>
      <c r="CU444" s="301">
        <v>83620000</v>
      </c>
    </row>
    <row r="445" spans="91:99">
      <c r="CM445" s="299">
        <v>2019</v>
      </c>
      <c r="CN445" s="299">
        <v>3050</v>
      </c>
      <c r="CO445" s="300" t="s">
        <v>254</v>
      </c>
      <c r="CP445" s="299">
        <v>755</v>
      </c>
      <c r="CQ445" s="299">
        <v>34</v>
      </c>
      <c r="CR445" s="294" t="s">
        <v>385</v>
      </c>
      <c r="CS445" s="294" t="s">
        <v>404</v>
      </c>
      <c r="CT445" s="294" t="s">
        <v>390</v>
      </c>
      <c r="CU445" s="301">
        <v>241466000</v>
      </c>
    </row>
    <row r="446" spans="91:99">
      <c r="CM446" s="299">
        <v>2019</v>
      </c>
      <c r="CN446" s="299">
        <v>3050</v>
      </c>
      <c r="CO446" s="300" t="s">
        <v>254</v>
      </c>
      <c r="CP446" s="299">
        <v>755</v>
      </c>
      <c r="CQ446" s="299">
        <v>35</v>
      </c>
      <c r="CR446" s="294" t="s">
        <v>385</v>
      </c>
      <c r="CS446" s="294" t="s">
        <v>404</v>
      </c>
      <c r="CT446" s="294" t="s">
        <v>391</v>
      </c>
      <c r="CU446" s="301">
        <v>57573000</v>
      </c>
    </row>
    <row r="447" spans="91:99">
      <c r="CM447" s="299">
        <v>2019</v>
      </c>
      <c r="CN447" s="299">
        <v>3050</v>
      </c>
      <c r="CO447" s="300" t="s">
        <v>254</v>
      </c>
      <c r="CP447" s="299">
        <v>755</v>
      </c>
      <c r="CQ447" s="299">
        <v>36</v>
      </c>
      <c r="CR447" s="294" t="s">
        <v>385</v>
      </c>
      <c r="CS447" s="294" t="s">
        <v>404</v>
      </c>
      <c r="CT447" s="294" t="s">
        <v>392</v>
      </c>
      <c r="CU447" s="301">
        <v>751595000</v>
      </c>
    </row>
    <row r="448" spans="91:99">
      <c r="CM448" s="299">
        <v>2019</v>
      </c>
      <c r="CN448" s="299">
        <v>3050</v>
      </c>
      <c r="CO448" s="300" t="s">
        <v>254</v>
      </c>
      <c r="CP448" s="299">
        <v>755</v>
      </c>
      <c r="CQ448" s="299">
        <v>37</v>
      </c>
      <c r="CR448" s="294" t="s">
        <v>385</v>
      </c>
      <c r="CS448" s="294" t="s">
        <v>404</v>
      </c>
      <c r="CT448" s="294" t="s">
        <v>393</v>
      </c>
      <c r="CU448" s="301">
        <v>19415000</v>
      </c>
    </row>
    <row r="449" spans="91:99">
      <c r="CM449" s="299">
        <v>2019</v>
      </c>
      <c r="CN449" s="299">
        <v>3050</v>
      </c>
      <c r="CO449" s="300" t="s">
        <v>254</v>
      </c>
      <c r="CP449" s="299">
        <v>755</v>
      </c>
      <c r="CQ449" s="299">
        <v>38</v>
      </c>
      <c r="CR449" s="294" t="s">
        <v>385</v>
      </c>
      <c r="CS449" s="294" t="s">
        <v>404</v>
      </c>
      <c r="CT449" s="294" t="s">
        <v>394</v>
      </c>
      <c r="CU449" s="301">
        <v>155290000</v>
      </c>
    </row>
    <row r="450" spans="91:99">
      <c r="CM450" s="299">
        <v>2019</v>
      </c>
      <c r="CN450" s="299">
        <v>3050</v>
      </c>
      <c r="CO450" s="300" t="s">
        <v>254</v>
      </c>
      <c r="CP450" s="299">
        <v>755</v>
      </c>
      <c r="CQ450" s="299">
        <v>39</v>
      </c>
      <c r="CR450" s="294" t="s">
        <v>385</v>
      </c>
      <c r="CS450" s="294" t="s">
        <v>404</v>
      </c>
      <c r="CT450" s="294" t="s">
        <v>395</v>
      </c>
      <c r="CU450" s="301">
        <v>10442000</v>
      </c>
    </row>
    <row r="451" spans="91:99">
      <c r="CM451" s="299">
        <v>2019</v>
      </c>
      <c r="CN451" s="299">
        <v>3050</v>
      </c>
      <c r="CO451" s="300" t="s">
        <v>254</v>
      </c>
      <c r="CP451" s="299">
        <v>755</v>
      </c>
      <c r="CQ451" s="299">
        <v>40</v>
      </c>
      <c r="CR451" s="294" t="s">
        <v>385</v>
      </c>
      <c r="CS451" s="294" t="s">
        <v>404</v>
      </c>
      <c r="CT451" s="294" t="s">
        <v>396</v>
      </c>
      <c r="CU451" s="301">
        <v>14813000</v>
      </c>
    </row>
    <row r="452" spans="91:99">
      <c r="CM452" s="299">
        <v>2019</v>
      </c>
      <c r="CN452" s="299">
        <v>3050</v>
      </c>
      <c r="CO452" s="300" t="s">
        <v>254</v>
      </c>
      <c r="CP452" s="299">
        <v>755</v>
      </c>
      <c r="CQ452" s="299">
        <v>41</v>
      </c>
      <c r="CR452" s="294" t="s">
        <v>385</v>
      </c>
      <c r="CS452" s="294" t="s">
        <v>404</v>
      </c>
      <c r="CT452" s="294" t="s">
        <v>397</v>
      </c>
      <c r="CU452" s="301">
        <v>85206000</v>
      </c>
    </row>
    <row r="453" spans="91:99">
      <c r="CM453" s="299">
        <v>2019</v>
      </c>
      <c r="CN453" s="299">
        <v>3050</v>
      </c>
      <c r="CO453" s="300" t="s">
        <v>254</v>
      </c>
      <c r="CP453" s="299">
        <v>755</v>
      </c>
      <c r="CQ453" s="299">
        <v>42</v>
      </c>
      <c r="CR453" s="294" t="s">
        <v>385</v>
      </c>
      <c r="CS453" s="294" t="s">
        <v>404</v>
      </c>
      <c r="CT453" s="294" t="s">
        <v>398</v>
      </c>
      <c r="CU453" s="301">
        <v>20865000</v>
      </c>
    </row>
    <row r="454" spans="91:99">
      <c r="CM454" s="299">
        <v>2019</v>
      </c>
      <c r="CN454" s="299">
        <v>3050</v>
      </c>
      <c r="CO454" s="300" t="s">
        <v>254</v>
      </c>
      <c r="CP454" s="299">
        <v>755</v>
      </c>
      <c r="CQ454" s="299">
        <v>43</v>
      </c>
      <c r="CR454" s="294" t="s">
        <v>385</v>
      </c>
      <c r="CS454" s="294" t="s">
        <v>404</v>
      </c>
      <c r="CT454" s="294" t="s">
        <v>399</v>
      </c>
      <c r="CU454" s="301">
        <v>372000</v>
      </c>
    </row>
    <row r="455" spans="91:99">
      <c r="CM455" s="299">
        <v>2019</v>
      </c>
      <c r="CN455" s="299">
        <v>3050</v>
      </c>
      <c r="CO455" s="300" t="s">
        <v>254</v>
      </c>
      <c r="CP455" s="299">
        <v>755</v>
      </c>
      <c r="CQ455" s="299">
        <v>44</v>
      </c>
      <c r="CR455" s="294" t="s">
        <v>385</v>
      </c>
      <c r="CS455" s="294" t="s">
        <v>404</v>
      </c>
      <c r="CT455" s="294" t="s">
        <v>400</v>
      </c>
      <c r="CU455" s="301">
        <v>77383000</v>
      </c>
    </row>
    <row r="456" spans="91:99">
      <c r="CM456" s="299">
        <v>2019</v>
      </c>
      <c r="CN456" s="299">
        <v>3050</v>
      </c>
      <c r="CO456" s="300" t="s">
        <v>254</v>
      </c>
      <c r="CP456" s="299">
        <v>755</v>
      </c>
      <c r="CQ456" s="299">
        <v>45</v>
      </c>
      <c r="CR456" s="294" t="s">
        <v>385</v>
      </c>
      <c r="CS456" s="294" t="s">
        <v>405</v>
      </c>
      <c r="CT456" s="294" t="s">
        <v>402</v>
      </c>
      <c r="CU456" s="301">
        <v>517000</v>
      </c>
    </row>
    <row r="457" spans="91:99">
      <c r="CM457" s="299">
        <v>2019</v>
      </c>
      <c r="CN457" s="299">
        <v>3050</v>
      </c>
      <c r="CO457" s="300" t="s">
        <v>254</v>
      </c>
      <c r="CP457" s="299">
        <v>755</v>
      </c>
      <c r="CQ457" s="299">
        <v>46</v>
      </c>
      <c r="CR457" s="294" t="s">
        <v>385</v>
      </c>
      <c r="CS457" s="294" t="s">
        <v>405</v>
      </c>
      <c r="CT457" s="294" t="s">
        <v>406</v>
      </c>
      <c r="CU457" s="301">
        <v>1527416000</v>
      </c>
    </row>
    <row r="458" spans="91:99">
      <c r="CM458" s="299">
        <v>2019</v>
      </c>
      <c r="CN458" s="299">
        <v>3050</v>
      </c>
      <c r="CO458" s="300" t="s">
        <v>254</v>
      </c>
      <c r="CP458" s="299">
        <v>755</v>
      </c>
      <c r="CQ458" s="299">
        <v>47</v>
      </c>
      <c r="CR458" s="294" t="s">
        <v>385</v>
      </c>
      <c r="CS458" s="294" t="s">
        <v>407</v>
      </c>
      <c r="CT458" s="294" t="s">
        <v>387</v>
      </c>
      <c r="CU458" s="301">
        <v>0</v>
      </c>
    </row>
    <row r="459" spans="91:99">
      <c r="CM459" s="299">
        <v>2019</v>
      </c>
      <c r="CN459" s="299">
        <v>3050</v>
      </c>
      <c r="CO459" s="300" t="s">
        <v>254</v>
      </c>
      <c r="CP459" s="299">
        <v>755</v>
      </c>
      <c r="CQ459" s="299">
        <v>48</v>
      </c>
      <c r="CR459" s="294" t="s">
        <v>385</v>
      </c>
      <c r="CS459" s="294" t="s">
        <v>407</v>
      </c>
      <c r="CT459" s="294" t="s">
        <v>388</v>
      </c>
      <c r="CU459" s="301">
        <v>3502000</v>
      </c>
    </row>
    <row r="460" spans="91:99">
      <c r="CM460" s="299">
        <v>2019</v>
      </c>
      <c r="CN460" s="299">
        <v>3050</v>
      </c>
      <c r="CO460" s="300" t="s">
        <v>254</v>
      </c>
      <c r="CP460" s="299">
        <v>755</v>
      </c>
      <c r="CQ460" s="299">
        <v>49</v>
      </c>
      <c r="CR460" s="294" t="s">
        <v>385</v>
      </c>
      <c r="CS460" s="294" t="s">
        <v>407</v>
      </c>
      <c r="CT460" s="294" t="s">
        <v>389</v>
      </c>
      <c r="CU460" s="301">
        <v>66297000</v>
      </c>
    </row>
    <row r="461" spans="91:99">
      <c r="CM461" s="299">
        <v>2019</v>
      </c>
      <c r="CN461" s="299">
        <v>3050</v>
      </c>
      <c r="CO461" s="300" t="s">
        <v>254</v>
      </c>
      <c r="CP461" s="299">
        <v>755</v>
      </c>
      <c r="CQ461" s="299">
        <v>50</v>
      </c>
      <c r="CR461" s="294" t="s">
        <v>385</v>
      </c>
      <c r="CS461" s="294" t="s">
        <v>407</v>
      </c>
      <c r="CT461" s="294" t="s">
        <v>390</v>
      </c>
      <c r="CU461" s="301">
        <v>854705000</v>
      </c>
    </row>
    <row r="462" spans="91:99">
      <c r="CM462" s="299">
        <v>2019</v>
      </c>
      <c r="CN462" s="299">
        <v>3050</v>
      </c>
      <c r="CO462" s="300" t="s">
        <v>254</v>
      </c>
      <c r="CP462" s="299">
        <v>755</v>
      </c>
      <c r="CQ462" s="299">
        <v>51</v>
      </c>
      <c r="CR462" s="294" t="s">
        <v>385</v>
      </c>
      <c r="CS462" s="294" t="s">
        <v>407</v>
      </c>
      <c r="CT462" s="294" t="s">
        <v>391</v>
      </c>
      <c r="CU462" s="301">
        <v>17330000</v>
      </c>
    </row>
    <row r="463" spans="91:99">
      <c r="CM463" s="299">
        <v>2019</v>
      </c>
      <c r="CN463" s="299">
        <v>3050</v>
      </c>
      <c r="CO463" s="300" t="s">
        <v>254</v>
      </c>
      <c r="CP463" s="299">
        <v>755</v>
      </c>
      <c r="CQ463" s="299">
        <v>52</v>
      </c>
      <c r="CR463" s="294" t="s">
        <v>385</v>
      </c>
      <c r="CS463" s="294" t="s">
        <v>407</v>
      </c>
      <c r="CT463" s="294" t="s">
        <v>392</v>
      </c>
      <c r="CU463" s="301">
        <v>563064000</v>
      </c>
    </row>
    <row r="464" spans="91:99">
      <c r="CM464" s="299">
        <v>2019</v>
      </c>
      <c r="CN464" s="299">
        <v>3050</v>
      </c>
      <c r="CO464" s="300" t="s">
        <v>254</v>
      </c>
      <c r="CP464" s="299">
        <v>755</v>
      </c>
      <c r="CQ464" s="299">
        <v>53</v>
      </c>
      <c r="CR464" s="294" t="s">
        <v>385</v>
      </c>
      <c r="CS464" s="294" t="s">
        <v>407</v>
      </c>
      <c r="CT464" s="294" t="s">
        <v>393</v>
      </c>
      <c r="CU464" s="301">
        <v>59109000</v>
      </c>
    </row>
    <row r="465" spans="91:99">
      <c r="CM465" s="299">
        <v>2019</v>
      </c>
      <c r="CN465" s="299">
        <v>3050</v>
      </c>
      <c r="CO465" s="300" t="s">
        <v>254</v>
      </c>
      <c r="CP465" s="299">
        <v>755</v>
      </c>
      <c r="CQ465" s="299">
        <v>54</v>
      </c>
      <c r="CR465" s="294" t="s">
        <v>385</v>
      </c>
      <c r="CS465" s="294" t="s">
        <v>407</v>
      </c>
      <c r="CT465" s="294" t="s">
        <v>394</v>
      </c>
      <c r="CU465" s="301">
        <v>554620000</v>
      </c>
    </row>
    <row r="466" spans="91:99">
      <c r="CM466" s="299">
        <v>2019</v>
      </c>
      <c r="CN466" s="299">
        <v>3050</v>
      </c>
      <c r="CO466" s="300" t="s">
        <v>254</v>
      </c>
      <c r="CP466" s="299">
        <v>755</v>
      </c>
      <c r="CQ466" s="299">
        <v>55</v>
      </c>
      <c r="CR466" s="294" t="s">
        <v>385</v>
      </c>
      <c r="CS466" s="294" t="s">
        <v>407</v>
      </c>
      <c r="CT466" s="294" t="s">
        <v>395</v>
      </c>
      <c r="CU466" s="301">
        <v>3339000</v>
      </c>
    </row>
    <row r="467" spans="91:99">
      <c r="CM467" s="299">
        <v>2019</v>
      </c>
      <c r="CN467" s="299">
        <v>3050</v>
      </c>
      <c r="CO467" s="300" t="s">
        <v>254</v>
      </c>
      <c r="CP467" s="299">
        <v>755</v>
      </c>
      <c r="CQ467" s="299">
        <v>56</v>
      </c>
      <c r="CR467" s="294" t="s">
        <v>385</v>
      </c>
      <c r="CS467" s="294" t="s">
        <v>407</v>
      </c>
      <c r="CT467" s="294" t="s">
        <v>396</v>
      </c>
      <c r="CU467" s="301">
        <v>90000</v>
      </c>
    </row>
    <row r="468" spans="91:99">
      <c r="CM468" s="299">
        <v>2019</v>
      </c>
      <c r="CN468" s="299">
        <v>3050</v>
      </c>
      <c r="CO468" s="300" t="s">
        <v>254</v>
      </c>
      <c r="CP468" s="299">
        <v>755</v>
      </c>
      <c r="CQ468" s="299">
        <v>57</v>
      </c>
      <c r="CR468" s="294" t="s">
        <v>385</v>
      </c>
      <c r="CS468" s="294" t="s">
        <v>407</v>
      </c>
      <c r="CT468" s="294" t="s">
        <v>397</v>
      </c>
      <c r="CU468" s="301">
        <v>1154400000</v>
      </c>
    </row>
    <row r="469" spans="91:99">
      <c r="CM469" s="299">
        <v>2019</v>
      </c>
      <c r="CN469" s="299">
        <v>3050</v>
      </c>
      <c r="CO469" s="300" t="s">
        <v>254</v>
      </c>
      <c r="CP469" s="299">
        <v>755</v>
      </c>
      <c r="CQ469" s="299">
        <v>58</v>
      </c>
      <c r="CR469" s="294" t="s">
        <v>385</v>
      </c>
      <c r="CS469" s="294" t="s">
        <v>407</v>
      </c>
      <c r="CT469" s="294" t="s">
        <v>398</v>
      </c>
      <c r="CU469" s="301">
        <v>347457000</v>
      </c>
    </row>
    <row r="470" spans="91:99">
      <c r="CM470" s="299">
        <v>2019</v>
      </c>
      <c r="CN470" s="299">
        <v>3050</v>
      </c>
      <c r="CO470" s="300" t="s">
        <v>254</v>
      </c>
      <c r="CP470" s="299">
        <v>755</v>
      </c>
      <c r="CQ470" s="299">
        <v>59</v>
      </c>
      <c r="CR470" s="294" t="s">
        <v>385</v>
      </c>
      <c r="CS470" s="294" t="s">
        <v>407</v>
      </c>
      <c r="CT470" s="294" t="s">
        <v>399</v>
      </c>
      <c r="CU470" s="301">
        <v>270000</v>
      </c>
    </row>
    <row r="471" spans="91:99">
      <c r="CM471" s="299">
        <v>2019</v>
      </c>
      <c r="CN471" s="299">
        <v>3050</v>
      </c>
      <c r="CO471" s="300" t="s">
        <v>254</v>
      </c>
      <c r="CP471" s="299">
        <v>755</v>
      </c>
      <c r="CQ471" s="299">
        <v>60</v>
      </c>
      <c r="CR471" s="294" t="s">
        <v>385</v>
      </c>
      <c r="CS471" s="294" t="s">
        <v>407</v>
      </c>
      <c r="CT471" s="294" t="s">
        <v>400</v>
      </c>
      <c r="CU471" s="301">
        <v>75413000</v>
      </c>
    </row>
    <row r="472" spans="91:99">
      <c r="CM472" s="299">
        <v>2019</v>
      </c>
      <c r="CN472" s="299">
        <v>3050</v>
      </c>
      <c r="CO472" s="300" t="s">
        <v>254</v>
      </c>
      <c r="CP472" s="299">
        <v>755</v>
      </c>
      <c r="CQ472" s="299">
        <v>61</v>
      </c>
      <c r="CR472" s="294" t="s">
        <v>385</v>
      </c>
      <c r="CS472" s="294" t="s">
        <v>407</v>
      </c>
      <c r="CT472" s="294" t="s">
        <v>408</v>
      </c>
      <c r="CU472" s="301">
        <v>144260000</v>
      </c>
    </row>
    <row r="473" spans="91:99">
      <c r="CM473" s="299">
        <v>2019</v>
      </c>
      <c r="CN473" s="299">
        <v>3050</v>
      </c>
      <c r="CO473" s="300" t="s">
        <v>254</v>
      </c>
      <c r="CP473" s="299">
        <v>755</v>
      </c>
      <c r="CQ473" s="299">
        <v>62</v>
      </c>
      <c r="CR473" s="294" t="s">
        <v>385</v>
      </c>
      <c r="CS473" s="294" t="s">
        <v>407</v>
      </c>
      <c r="CT473" s="294" t="s">
        <v>409</v>
      </c>
      <c r="CU473" s="301">
        <v>752225000</v>
      </c>
    </row>
    <row r="474" spans="91:99">
      <c r="CM474" s="299">
        <v>2019</v>
      </c>
      <c r="CN474" s="299">
        <v>3050</v>
      </c>
      <c r="CO474" s="300" t="s">
        <v>254</v>
      </c>
      <c r="CP474" s="299">
        <v>755</v>
      </c>
      <c r="CQ474" s="299">
        <v>63</v>
      </c>
      <c r="CR474" s="294" t="s">
        <v>385</v>
      </c>
      <c r="CS474" s="294" t="s">
        <v>410</v>
      </c>
      <c r="CT474" s="294" t="s">
        <v>402</v>
      </c>
      <c r="CU474" s="301">
        <v>656000</v>
      </c>
    </row>
    <row r="475" spans="91:99">
      <c r="CM475" s="299">
        <v>2019</v>
      </c>
      <c r="CN475" s="299">
        <v>3050</v>
      </c>
      <c r="CO475" s="300" t="s">
        <v>254</v>
      </c>
      <c r="CP475" s="299">
        <v>755</v>
      </c>
      <c r="CQ475" s="299">
        <v>64</v>
      </c>
      <c r="CR475" s="294" t="s">
        <v>385</v>
      </c>
      <c r="CS475" s="294" t="s">
        <v>410</v>
      </c>
      <c r="CT475" s="294" t="s">
        <v>411</v>
      </c>
      <c r="CU475" s="301">
        <v>4596737000</v>
      </c>
    </row>
    <row r="476" spans="91:99">
      <c r="CM476" s="299">
        <v>2019</v>
      </c>
      <c r="CN476" s="299">
        <v>3050</v>
      </c>
      <c r="CO476" s="300" t="s">
        <v>254</v>
      </c>
      <c r="CP476" s="299">
        <v>755</v>
      </c>
      <c r="CQ476" s="299">
        <v>65</v>
      </c>
      <c r="CR476" s="294" t="s">
        <v>385</v>
      </c>
      <c r="CS476" s="294" t="s">
        <v>412</v>
      </c>
      <c r="CT476" s="294" t="s">
        <v>387</v>
      </c>
      <c r="CU476" s="301">
        <v>0</v>
      </c>
    </row>
    <row r="477" spans="91:99">
      <c r="CM477" s="299">
        <v>2019</v>
      </c>
      <c r="CN477" s="299">
        <v>3050</v>
      </c>
      <c r="CO477" s="300" t="s">
        <v>254</v>
      </c>
      <c r="CP477" s="299">
        <v>755</v>
      </c>
      <c r="CQ477" s="299">
        <v>66</v>
      </c>
      <c r="CR477" s="294" t="s">
        <v>385</v>
      </c>
      <c r="CS477" s="294" t="s">
        <v>412</v>
      </c>
      <c r="CT477" s="294" t="s">
        <v>388</v>
      </c>
      <c r="CU477" s="301">
        <v>2451000</v>
      </c>
    </row>
    <row r="478" spans="91:99">
      <c r="CM478" s="299">
        <v>2019</v>
      </c>
      <c r="CN478" s="299">
        <v>3050</v>
      </c>
      <c r="CO478" s="300" t="s">
        <v>254</v>
      </c>
      <c r="CP478" s="299">
        <v>755</v>
      </c>
      <c r="CQ478" s="299">
        <v>67</v>
      </c>
      <c r="CR478" s="294" t="s">
        <v>385</v>
      </c>
      <c r="CS478" s="294" t="s">
        <v>412</v>
      </c>
      <c r="CT478" s="294" t="s">
        <v>389</v>
      </c>
      <c r="CU478" s="301">
        <v>32528000</v>
      </c>
    </row>
    <row r="479" spans="91:99">
      <c r="CM479" s="299">
        <v>2019</v>
      </c>
      <c r="CN479" s="299">
        <v>3050</v>
      </c>
      <c r="CO479" s="300" t="s">
        <v>254</v>
      </c>
      <c r="CP479" s="299">
        <v>755</v>
      </c>
      <c r="CQ479" s="299">
        <v>68</v>
      </c>
      <c r="CR479" s="294" t="s">
        <v>385</v>
      </c>
      <c r="CS479" s="294" t="s">
        <v>412</v>
      </c>
      <c r="CT479" s="294" t="s">
        <v>390</v>
      </c>
      <c r="CU479" s="301">
        <v>868233000</v>
      </c>
    </row>
    <row r="480" spans="91:99">
      <c r="CM480" s="299">
        <v>2019</v>
      </c>
      <c r="CN480" s="299">
        <v>3050</v>
      </c>
      <c r="CO480" s="300" t="s">
        <v>254</v>
      </c>
      <c r="CP480" s="299">
        <v>755</v>
      </c>
      <c r="CQ480" s="299">
        <v>69</v>
      </c>
      <c r="CR480" s="294" t="s">
        <v>385</v>
      </c>
      <c r="CS480" s="294" t="s">
        <v>412</v>
      </c>
      <c r="CT480" s="294" t="s">
        <v>391</v>
      </c>
      <c r="CU480" s="301">
        <v>18272000</v>
      </c>
    </row>
    <row r="481" spans="91:99">
      <c r="CM481" s="299">
        <v>2019</v>
      </c>
      <c r="CN481" s="299">
        <v>3050</v>
      </c>
      <c r="CO481" s="300" t="s">
        <v>254</v>
      </c>
      <c r="CP481" s="299">
        <v>755</v>
      </c>
      <c r="CQ481" s="299">
        <v>70</v>
      </c>
      <c r="CR481" s="294" t="s">
        <v>385</v>
      </c>
      <c r="CS481" s="294" t="s">
        <v>412</v>
      </c>
      <c r="CT481" s="294" t="s">
        <v>392</v>
      </c>
      <c r="CU481" s="301">
        <v>611843000</v>
      </c>
    </row>
    <row r="482" spans="91:99">
      <c r="CM482" s="299">
        <v>2019</v>
      </c>
      <c r="CN482" s="299">
        <v>3050</v>
      </c>
      <c r="CO482" s="300" t="s">
        <v>254</v>
      </c>
      <c r="CP482" s="299">
        <v>755</v>
      </c>
      <c r="CQ482" s="299">
        <v>71</v>
      </c>
      <c r="CR482" s="294" t="s">
        <v>385</v>
      </c>
      <c r="CS482" s="294" t="s">
        <v>412</v>
      </c>
      <c r="CT482" s="294" t="s">
        <v>393</v>
      </c>
      <c r="CU482" s="301">
        <v>60865000</v>
      </c>
    </row>
    <row r="483" spans="91:99">
      <c r="CM483" s="299">
        <v>2019</v>
      </c>
      <c r="CN483" s="299">
        <v>3050</v>
      </c>
      <c r="CO483" s="300" t="s">
        <v>254</v>
      </c>
      <c r="CP483" s="299">
        <v>755</v>
      </c>
      <c r="CQ483" s="299">
        <v>72</v>
      </c>
      <c r="CR483" s="294" t="s">
        <v>385</v>
      </c>
      <c r="CS483" s="294" t="s">
        <v>412</v>
      </c>
      <c r="CT483" s="294" t="s">
        <v>394</v>
      </c>
      <c r="CU483" s="301">
        <v>586478000</v>
      </c>
    </row>
    <row r="484" spans="91:99">
      <c r="CM484" s="299">
        <v>2019</v>
      </c>
      <c r="CN484" s="299">
        <v>3050</v>
      </c>
      <c r="CO484" s="300" t="s">
        <v>254</v>
      </c>
      <c r="CP484" s="299">
        <v>755</v>
      </c>
      <c r="CQ484" s="299">
        <v>73</v>
      </c>
      <c r="CR484" s="294" t="s">
        <v>385</v>
      </c>
      <c r="CS484" s="294" t="s">
        <v>412</v>
      </c>
      <c r="CT484" s="294" t="s">
        <v>395</v>
      </c>
      <c r="CU484" s="301">
        <v>3917000</v>
      </c>
    </row>
    <row r="485" spans="91:99">
      <c r="CM485" s="299">
        <v>2019</v>
      </c>
      <c r="CN485" s="299">
        <v>3050</v>
      </c>
      <c r="CO485" s="300" t="s">
        <v>254</v>
      </c>
      <c r="CP485" s="299">
        <v>755</v>
      </c>
      <c r="CQ485" s="299">
        <v>74</v>
      </c>
      <c r="CR485" s="294" t="s">
        <v>385</v>
      </c>
      <c r="CS485" s="294" t="s">
        <v>412</v>
      </c>
      <c r="CT485" s="294" t="s">
        <v>396</v>
      </c>
      <c r="CU485" s="301">
        <v>104000</v>
      </c>
    </row>
    <row r="486" spans="91:99">
      <c r="CM486" s="299">
        <v>2019</v>
      </c>
      <c r="CN486" s="299">
        <v>3050</v>
      </c>
      <c r="CO486" s="300" t="s">
        <v>254</v>
      </c>
      <c r="CP486" s="299">
        <v>755</v>
      </c>
      <c r="CQ486" s="299">
        <v>75</v>
      </c>
      <c r="CR486" s="294" t="s">
        <v>385</v>
      </c>
      <c r="CS486" s="294" t="s">
        <v>412</v>
      </c>
      <c r="CT486" s="294" t="s">
        <v>397</v>
      </c>
      <c r="CU486" s="301">
        <v>130063000</v>
      </c>
    </row>
    <row r="487" spans="91:99">
      <c r="CM487" s="299">
        <v>2019</v>
      </c>
      <c r="CN487" s="299">
        <v>3050</v>
      </c>
      <c r="CO487" s="300" t="s">
        <v>254</v>
      </c>
      <c r="CP487" s="299">
        <v>755</v>
      </c>
      <c r="CQ487" s="299">
        <v>76</v>
      </c>
      <c r="CR487" s="294" t="s">
        <v>385</v>
      </c>
      <c r="CS487" s="294" t="s">
        <v>412</v>
      </c>
      <c r="CT487" s="294" t="s">
        <v>398</v>
      </c>
      <c r="CU487" s="301">
        <v>85433000</v>
      </c>
    </row>
    <row r="488" spans="91:99">
      <c r="CM488" s="299">
        <v>2019</v>
      </c>
      <c r="CN488" s="299">
        <v>3050</v>
      </c>
      <c r="CO488" s="300" t="s">
        <v>254</v>
      </c>
      <c r="CP488" s="299">
        <v>755</v>
      </c>
      <c r="CQ488" s="299">
        <v>77</v>
      </c>
      <c r="CR488" s="294" t="s">
        <v>385</v>
      </c>
      <c r="CS488" s="294" t="s">
        <v>412</v>
      </c>
      <c r="CT488" s="294" t="s">
        <v>399</v>
      </c>
      <c r="CU488" s="301">
        <v>484000</v>
      </c>
    </row>
    <row r="489" spans="91:99">
      <c r="CM489" s="299">
        <v>2019</v>
      </c>
      <c r="CN489" s="299">
        <v>3050</v>
      </c>
      <c r="CO489" s="300" t="s">
        <v>254</v>
      </c>
      <c r="CP489" s="299">
        <v>755</v>
      </c>
      <c r="CQ489" s="299">
        <v>78</v>
      </c>
      <c r="CR489" s="294" t="s">
        <v>385</v>
      </c>
      <c r="CS489" s="294" t="s">
        <v>412</v>
      </c>
      <c r="CT489" s="294" t="s">
        <v>400</v>
      </c>
      <c r="CU489" s="301">
        <v>70389000</v>
      </c>
    </row>
    <row r="490" spans="91:99">
      <c r="CM490" s="299">
        <v>2019</v>
      </c>
      <c r="CN490" s="299">
        <v>3050</v>
      </c>
      <c r="CO490" s="300" t="s">
        <v>254</v>
      </c>
      <c r="CP490" s="299">
        <v>755</v>
      </c>
      <c r="CQ490" s="299">
        <v>79</v>
      </c>
      <c r="CR490" s="294" t="s">
        <v>385</v>
      </c>
      <c r="CS490" s="294" t="s">
        <v>412</v>
      </c>
      <c r="CT490" s="294" t="s">
        <v>408</v>
      </c>
      <c r="CU490" s="301">
        <v>150226000</v>
      </c>
    </row>
    <row r="491" spans="91:99">
      <c r="CM491" s="299">
        <v>2019</v>
      </c>
      <c r="CN491" s="299">
        <v>3050</v>
      </c>
      <c r="CO491" s="300" t="s">
        <v>254</v>
      </c>
      <c r="CP491" s="299">
        <v>755</v>
      </c>
      <c r="CQ491" s="299">
        <v>80</v>
      </c>
      <c r="CR491" s="294" t="s">
        <v>385</v>
      </c>
      <c r="CS491" s="294" t="s">
        <v>412</v>
      </c>
      <c r="CT491" s="294" t="s">
        <v>409</v>
      </c>
      <c r="CU491" s="301">
        <v>797463000</v>
      </c>
    </row>
    <row r="492" spans="91:99">
      <c r="CM492" s="299">
        <v>2019</v>
      </c>
      <c r="CN492" s="299">
        <v>3050</v>
      </c>
      <c r="CO492" s="300" t="s">
        <v>254</v>
      </c>
      <c r="CP492" s="299">
        <v>755</v>
      </c>
      <c r="CQ492" s="299">
        <v>81</v>
      </c>
      <c r="CR492" s="294" t="s">
        <v>385</v>
      </c>
      <c r="CS492" s="294" t="s">
        <v>413</v>
      </c>
      <c r="CT492" s="294" t="s">
        <v>402</v>
      </c>
      <c r="CU492" s="301">
        <v>701000</v>
      </c>
    </row>
    <row r="493" spans="91:99">
      <c r="CM493" s="299">
        <v>2019</v>
      </c>
      <c r="CN493" s="299">
        <v>3050</v>
      </c>
      <c r="CO493" s="300" t="s">
        <v>254</v>
      </c>
      <c r="CP493" s="299">
        <v>755</v>
      </c>
      <c r="CQ493" s="299">
        <v>82</v>
      </c>
      <c r="CR493" s="294" t="s">
        <v>385</v>
      </c>
      <c r="CS493" s="294" t="s">
        <v>413</v>
      </c>
      <c r="CT493" s="294" t="s">
        <v>414</v>
      </c>
      <c r="CU493" s="301">
        <v>3419450000</v>
      </c>
    </row>
    <row r="494" spans="91:99">
      <c r="CM494" s="299">
        <v>2019</v>
      </c>
      <c r="CN494" s="299">
        <v>3050</v>
      </c>
      <c r="CO494" s="300" t="s">
        <v>254</v>
      </c>
      <c r="CP494" s="299">
        <v>755</v>
      </c>
      <c r="CQ494" s="299">
        <v>83</v>
      </c>
      <c r="CR494" s="294" t="s">
        <v>377</v>
      </c>
      <c r="CS494" s="294" t="s">
        <v>378</v>
      </c>
      <c r="CT494" s="294" t="s">
        <v>415</v>
      </c>
      <c r="CU494" s="301">
        <v>89505000</v>
      </c>
    </row>
    <row r="495" spans="91:99">
      <c r="CM495" s="299">
        <v>2019</v>
      </c>
      <c r="CN495" s="299">
        <v>3050</v>
      </c>
      <c r="CO495" s="300" t="s">
        <v>254</v>
      </c>
      <c r="CP495" s="299">
        <v>755</v>
      </c>
      <c r="CQ495" s="299">
        <v>84</v>
      </c>
      <c r="CR495" s="294" t="s">
        <v>377</v>
      </c>
      <c r="CS495" s="294" t="s">
        <v>378</v>
      </c>
      <c r="CT495" s="294" t="s">
        <v>416</v>
      </c>
      <c r="CU495" s="301">
        <v>0</v>
      </c>
    </row>
    <row r="496" spans="91:99">
      <c r="CM496" s="299">
        <v>2019</v>
      </c>
      <c r="CN496" s="299">
        <v>3050</v>
      </c>
      <c r="CO496" s="300" t="s">
        <v>254</v>
      </c>
      <c r="CP496" s="299">
        <v>755</v>
      </c>
      <c r="CQ496" s="299">
        <v>85</v>
      </c>
      <c r="CR496" s="294" t="s">
        <v>339</v>
      </c>
      <c r="CS496" s="294" t="s">
        <v>340</v>
      </c>
      <c r="CT496" s="294" t="s">
        <v>322</v>
      </c>
      <c r="CU496" s="301">
        <v>6361768000</v>
      </c>
    </row>
    <row r="497" spans="91:99">
      <c r="CM497" s="299">
        <v>2019</v>
      </c>
      <c r="CN497" s="299">
        <v>3050</v>
      </c>
      <c r="CO497" s="300" t="s">
        <v>254</v>
      </c>
      <c r="CP497" s="299">
        <v>755</v>
      </c>
      <c r="CQ497" s="299">
        <v>86</v>
      </c>
      <c r="CR497" s="294" t="s">
        <v>339</v>
      </c>
      <c r="CS497" s="294" t="s">
        <v>340</v>
      </c>
      <c r="CT497" s="294" t="s">
        <v>323</v>
      </c>
      <c r="CU497" s="301">
        <v>148615000</v>
      </c>
    </row>
    <row r="498" spans="91:99">
      <c r="CM498" s="299">
        <v>2019</v>
      </c>
      <c r="CN498" s="299">
        <v>3050</v>
      </c>
      <c r="CO498" s="300" t="s">
        <v>254</v>
      </c>
      <c r="CP498" s="299">
        <v>755</v>
      </c>
      <c r="CQ498" s="299">
        <v>87</v>
      </c>
      <c r="CR498" s="294" t="s">
        <v>339</v>
      </c>
      <c r="CS498" s="294" t="s">
        <v>341</v>
      </c>
      <c r="CT498" s="294" t="s">
        <v>325</v>
      </c>
      <c r="CU498" s="301">
        <v>5258256000</v>
      </c>
    </row>
    <row r="499" spans="91:99">
      <c r="CM499" s="299">
        <v>2019</v>
      </c>
      <c r="CN499" s="299">
        <v>3050</v>
      </c>
      <c r="CO499" s="300" t="s">
        <v>254</v>
      </c>
      <c r="CP499" s="299">
        <v>755</v>
      </c>
      <c r="CQ499" s="299">
        <v>88</v>
      </c>
      <c r="CR499" s="294" t="s">
        <v>339</v>
      </c>
      <c r="CS499" s="294" t="s">
        <v>341</v>
      </c>
      <c r="CT499" s="294" t="s">
        <v>342</v>
      </c>
      <c r="CU499" s="301">
        <v>11768639000</v>
      </c>
    </row>
    <row r="500" spans="91:99">
      <c r="CM500" s="299">
        <v>2019</v>
      </c>
      <c r="CN500" s="299">
        <v>3050</v>
      </c>
      <c r="CO500" s="300" t="s">
        <v>254</v>
      </c>
      <c r="CP500" s="299">
        <v>755</v>
      </c>
      <c r="CQ500" s="299">
        <v>89</v>
      </c>
      <c r="CR500" s="294" t="s">
        <v>377</v>
      </c>
      <c r="CS500" s="294" t="s">
        <v>378</v>
      </c>
      <c r="CT500" s="294" t="s">
        <v>379</v>
      </c>
      <c r="CU500" s="301">
        <v>32000</v>
      </c>
    </row>
    <row r="501" spans="91:99">
      <c r="CM501" s="299">
        <v>2019</v>
      </c>
      <c r="CN501" s="299">
        <v>3050</v>
      </c>
      <c r="CO501" s="300" t="s">
        <v>254</v>
      </c>
      <c r="CP501" s="299">
        <v>755</v>
      </c>
      <c r="CQ501" s="299">
        <v>98</v>
      </c>
      <c r="CR501" s="294" t="s">
        <v>343</v>
      </c>
      <c r="CS501" s="294" t="s">
        <v>380</v>
      </c>
      <c r="CT501" s="294" t="s">
        <v>381</v>
      </c>
      <c r="CU501" s="301">
        <v>109762761000</v>
      </c>
    </row>
    <row r="502" spans="91:99">
      <c r="CM502" s="299">
        <v>2019</v>
      </c>
      <c r="CN502" s="299">
        <v>3050</v>
      </c>
      <c r="CO502" s="300" t="s">
        <v>254</v>
      </c>
      <c r="CP502" s="299">
        <v>755</v>
      </c>
      <c r="CQ502" s="299">
        <v>99</v>
      </c>
      <c r="CR502" s="294" t="s">
        <v>343</v>
      </c>
      <c r="CS502" s="294" t="s">
        <v>344</v>
      </c>
      <c r="CT502" s="294" t="s">
        <v>322</v>
      </c>
      <c r="CU502" s="301">
        <v>573716808000</v>
      </c>
    </row>
    <row r="503" spans="91:99">
      <c r="CM503" s="299">
        <v>2019</v>
      </c>
      <c r="CN503" s="299">
        <v>3050</v>
      </c>
      <c r="CO503" s="300" t="s">
        <v>254</v>
      </c>
      <c r="CP503" s="299">
        <v>755</v>
      </c>
      <c r="CQ503" s="299">
        <v>100</v>
      </c>
      <c r="CR503" s="294" t="s">
        <v>343</v>
      </c>
      <c r="CS503" s="294" t="s">
        <v>344</v>
      </c>
      <c r="CT503" s="294" t="s">
        <v>323</v>
      </c>
      <c r="CU503" s="301">
        <v>14001077000</v>
      </c>
    </row>
    <row r="504" spans="91:99">
      <c r="CM504" s="299">
        <v>2019</v>
      </c>
      <c r="CN504" s="299">
        <v>3050</v>
      </c>
      <c r="CO504" s="300" t="s">
        <v>254</v>
      </c>
      <c r="CP504" s="299">
        <v>755</v>
      </c>
      <c r="CQ504" s="299">
        <v>101</v>
      </c>
      <c r="CR504" s="294" t="s">
        <v>343</v>
      </c>
      <c r="CS504" s="294" t="s">
        <v>344</v>
      </c>
      <c r="CT504" s="294" t="s">
        <v>325</v>
      </c>
      <c r="CU504" s="301">
        <v>570867224000</v>
      </c>
    </row>
    <row r="505" spans="91:99">
      <c r="CM505" s="299">
        <v>2019</v>
      </c>
      <c r="CN505" s="299">
        <v>3050</v>
      </c>
      <c r="CO505" s="300" t="s">
        <v>254</v>
      </c>
      <c r="CP505" s="299">
        <v>755</v>
      </c>
      <c r="CQ505" s="299">
        <v>102</v>
      </c>
      <c r="CR505" s="294" t="s">
        <v>343</v>
      </c>
      <c r="CS505" s="294" t="s">
        <v>345</v>
      </c>
      <c r="CT505" s="294" t="s">
        <v>346</v>
      </c>
      <c r="CU505" s="301">
        <v>0</v>
      </c>
    </row>
    <row r="506" spans="91:99">
      <c r="CM506" s="299">
        <v>2019</v>
      </c>
      <c r="CN506" s="299">
        <v>3050</v>
      </c>
      <c r="CO506" s="300" t="s">
        <v>254</v>
      </c>
      <c r="CP506" s="299">
        <v>755</v>
      </c>
      <c r="CQ506" s="299">
        <v>103</v>
      </c>
      <c r="CR506" s="294" t="s">
        <v>343</v>
      </c>
      <c r="CS506" s="294" t="s">
        <v>347</v>
      </c>
      <c r="CT506" s="294" t="s">
        <v>348</v>
      </c>
      <c r="CU506" s="301">
        <v>11191234000</v>
      </c>
    </row>
    <row r="507" spans="91:99">
      <c r="CM507" s="299">
        <v>2019</v>
      </c>
      <c r="CN507" s="299">
        <v>3050</v>
      </c>
      <c r="CO507" s="300" t="s">
        <v>254</v>
      </c>
      <c r="CP507" s="299">
        <v>755</v>
      </c>
      <c r="CQ507" s="299">
        <v>104</v>
      </c>
      <c r="CR507" s="294" t="s">
        <v>343</v>
      </c>
      <c r="CS507" s="294" t="s">
        <v>349</v>
      </c>
      <c r="CT507" s="294" t="s">
        <v>350</v>
      </c>
      <c r="CU507" s="301">
        <v>1279539104000</v>
      </c>
    </row>
    <row r="508" spans="91:99">
      <c r="CM508" s="299">
        <v>2019</v>
      </c>
      <c r="CN508" s="299">
        <v>3050</v>
      </c>
      <c r="CO508" s="300" t="s">
        <v>254</v>
      </c>
      <c r="CP508" s="299">
        <v>755</v>
      </c>
      <c r="CQ508" s="299">
        <v>105</v>
      </c>
      <c r="CR508" s="294" t="s">
        <v>351</v>
      </c>
      <c r="CS508" s="294" t="s">
        <v>352</v>
      </c>
      <c r="CT508" s="294" t="s">
        <v>353</v>
      </c>
      <c r="CU508" s="301">
        <v>573682000</v>
      </c>
    </row>
    <row r="509" spans="91:99">
      <c r="CM509" s="299">
        <v>2019</v>
      </c>
      <c r="CN509" s="299">
        <v>3050</v>
      </c>
      <c r="CO509" s="300" t="s">
        <v>254</v>
      </c>
      <c r="CP509" s="299">
        <v>755</v>
      </c>
      <c r="CQ509" s="299">
        <v>106</v>
      </c>
      <c r="CR509" s="294" t="s">
        <v>351</v>
      </c>
      <c r="CS509" s="294" t="s">
        <v>354</v>
      </c>
      <c r="CT509" s="294" t="s">
        <v>355</v>
      </c>
      <c r="CU509" s="301">
        <v>10550000</v>
      </c>
    </row>
    <row r="510" spans="91:99">
      <c r="CM510" s="299">
        <v>2019</v>
      </c>
      <c r="CN510" s="299">
        <v>3050</v>
      </c>
      <c r="CO510" s="300" t="s">
        <v>254</v>
      </c>
      <c r="CP510" s="299">
        <v>755</v>
      </c>
      <c r="CQ510" s="299">
        <v>107</v>
      </c>
      <c r="CR510" s="294" t="s">
        <v>351</v>
      </c>
      <c r="CS510" s="294" t="s">
        <v>356</v>
      </c>
      <c r="CT510" s="294" t="s">
        <v>357</v>
      </c>
      <c r="CU510" s="301">
        <v>584232000</v>
      </c>
    </row>
    <row r="511" spans="91:99">
      <c r="CM511" s="299">
        <v>2019</v>
      </c>
      <c r="CN511" s="299">
        <v>3050</v>
      </c>
      <c r="CO511" s="300" t="s">
        <v>254</v>
      </c>
      <c r="CP511" s="299">
        <v>755</v>
      </c>
      <c r="CQ511" s="299">
        <v>108</v>
      </c>
      <c r="CR511" s="294" t="s">
        <v>358</v>
      </c>
      <c r="CS511" s="294" t="s">
        <v>359</v>
      </c>
      <c r="CT511" s="294" t="s">
        <v>360</v>
      </c>
      <c r="CU511" s="301">
        <v>665033180000</v>
      </c>
    </row>
    <row r="512" spans="91:99">
      <c r="CM512" s="299">
        <v>2019</v>
      </c>
      <c r="CN512" s="299">
        <v>3050</v>
      </c>
      <c r="CO512" s="300" t="s">
        <v>254</v>
      </c>
      <c r="CP512" s="299">
        <v>755</v>
      </c>
      <c r="CQ512" s="299">
        <v>109</v>
      </c>
      <c r="CR512" s="294" t="s">
        <v>358</v>
      </c>
      <c r="CS512" s="294" t="s">
        <v>359</v>
      </c>
      <c r="CT512" s="294" t="s">
        <v>361</v>
      </c>
      <c r="CU512" s="301">
        <v>0</v>
      </c>
    </row>
    <row r="513" spans="91:99">
      <c r="CM513" s="299">
        <v>2019</v>
      </c>
      <c r="CN513" s="299">
        <v>3050</v>
      </c>
      <c r="CO513" s="300" t="s">
        <v>254</v>
      </c>
      <c r="CP513" s="299">
        <v>755</v>
      </c>
      <c r="CQ513" s="299">
        <v>110</v>
      </c>
      <c r="CR513" s="294" t="s">
        <v>358</v>
      </c>
      <c r="CS513" s="294" t="s">
        <v>359</v>
      </c>
      <c r="CT513" s="294" t="s">
        <v>362</v>
      </c>
      <c r="CU513" s="301">
        <v>665033180000</v>
      </c>
    </row>
    <row r="514" spans="91:99">
      <c r="CM514" s="299">
        <v>2019</v>
      </c>
      <c r="CN514" s="299">
        <v>3050</v>
      </c>
      <c r="CO514" s="300" t="s">
        <v>254</v>
      </c>
      <c r="CP514" s="299">
        <v>755</v>
      </c>
      <c r="CQ514" s="299">
        <v>111</v>
      </c>
      <c r="CR514" s="294" t="s">
        <v>358</v>
      </c>
      <c r="CS514" s="294" t="s">
        <v>363</v>
      </c>
      <c r="CT514" s="294" t="s">
        <v>364</v>
      </c>
      <c r="CU514" s="301">
        <v>6491442000</v>
      </c>
    </row>
    <row r="515" spans="91:99">
      <c r="CM515" s="299">
        <v>2019</v>
      </c>
      <c r="CN515" s="299">
        <v>3050</v>
      </c>
      <c r="CO515" s="300" t="s">
        <v>254</v>
      </c>
      <c r="CP515" s="299">
        <v>755</v>
      </c>
      <c r="CQ515" s="299">
        <v>112</v>
      </c>
      <c r="CR515" s="294" t="s">
        <v>358</v>
      </c>
      <c r="CS515" s="294" t="s">
        <v>363</v>
      </c>
      <c r="CT515" s="294" t="s">
        <v>365</v>
      </c>
      <c r="CU515" s="301">
        <v>0</v>
      </c>
    </row>
    <row r="516" spans="91:99">
      <c r="CM516" s="299">
        <v>2019</v>
      </c>
      <c r="CN516" s="299">
        <v>3050</v>
      </c>
      <c r="CO516" s="300" t="s">
        <v>254</v>
      </c>
      <c r="CP516" s="299">
        <v>755</v>
      </c>
      <c r="CQ516" s="299">
        <v>113</v>
      </c>
      <c r="CR516" s="294" t="s">
        <v>358</v>
      </c>
      <c r="CS516" s="294" t="s">
        <v>363</v>
      </c>
      <c r="CT516" s="294" t="s">
        <v>366</v>
      </c>
      <c r="CU516" s="301">
        <v>6491442000</v>
      </c>
    </row>
    <row r="517" spans="91:99">
      <c r="CM517" s="299">
        <v>2019</v>
      </c>
      <c r="CN517" s="299">
        <v>3050</v>
      </c>
      <c r="CO517" s="300" t="s">
        <v>254</v>
      </c>
      <c r="CP517" s="299">
        <v>755</v>
      </c>
      <c r="CQ517" s="299">
        <v>114</v>
      </c>
      <c r="CR517" s="294" t="s">
        <v>358</v>
      </c>
      <c r="CS517" s="294" t="s">
        <v>367</v>
      </c>
      <c r="CT517" s="294" t="s">
        <v>368</v>
      </c>
      <c r="CU517" s="301">
        <v>671524622000</v>
      </c>
    </row>
    <row r="518" spans="91:99">
      <c r="CM518" s="299">
        <v>2019</v>
      </c>
      <c r="CN518" s="299">
        <v>3050</v>
      </c>
      <c r="CO518" s="300" t="s">
        <v>254</v>
      </c>
      <c r="CP518" s="299">
        <v>755</v>
      </c>
      <c r="CQ518" s="299">
        <v>115</v>
      </c>
      <c r="CR518" s="294" t="s">
        <v>369</v>
      </c>
      <c r="CS518" s="294" t="s">
        <v>370</v>
      </c>
      <c r="CT518" s="294" t="s">
        <v>371</v>
      </c>
      <c r="CU518" s="301">
        <v>9835163</v>
      </c>
    </row>
    <row r="519" spans="91:99">
      <c r="CM519" s="299">
        <v>2019</v>
      </c>
      <c r="CN519" s="299">
        <v>3050</v>
      </c>
      <c r="CO519" s="300" t="s">
        <v>254</v>
      </c>
      <c r="CP519" s="299">
        <v>755</v>
      </c>
      <c r="CQ519" s="299">
        <v>116</v>
      </c>
      <c r="CR519" s="294" t="s">
        <v>369</v>
      </c>
      <c r="CS519" s="294" t="s">
        <v>372</v>
      </c>
      <c r="CT519" s="294" t="s">
        <v>373</v>
      </c>
      <c r="CU519" s="301">
        <v>265316</v>
      </c>
    </row>
    <row r="520" spans="91:99">
      <c r="CM520" s="299">
        <v>2019</v>
      </c>
      <c r="CN520" s="299">
        <v>3050</v>
      </c>
      <c r="CO520" s="300" t="s">
        <v>254</v>
      </c>
      <c r="CP520" s="299">
        <v>755</v>
      </c>
      <c r="CQ520" s="299">
        <v>117</v>
      </c>
      <c r="CR520" s="294" t="s">
        <v>374</v>
      </c>
      <c r="CS520" s="294" t="s">
        <v>375</v>
      </c>
      <c r="CT520" s="294" t="s">
        <v>376</v>
      </c>
      <c r="CU520" s="301">
        <v>2434450</v>
      </c>
    </row>
    <row r="521" spans="91:99">
      <c r="CM521" s="299">
        <v>2019</v>
      </c>
      <c r="CN521" s="299">
        <v>3050</v>
      </c>
      <c r="CO521" s="300" t="s">
        <v>254</v>
      </c>
      <c r="CP521" s="299">
        <v>755</v>
      </c>
      <c r="CQ521" s="299">
        <v>118</v>
      </c>
      <c r="CR521" s="294" t="s">
        <v>417</v>
      </c>
      <c r="CS521" s="294" t="s">
        <v>418</v>
      </c>
      <c r="CT521" s="294" t="s">
        <v>419</v>
      </c>
      <c r="CU521" s="301">
        <v>2155321</v>
      </c>
    </row>
    <row r="522" spans="91:99">
      <c r="CM522" s="299">
        <v>2019</v>
      </c>
      <c r="CN522" s="299">
        <v>3050</v>
      </c>
      <c r="CO522" s="300" t="s">
        <v>254</v>
      </c>
      <c r="CP522" s="299">
        <v>755</v>
      </c>
      <c r="CQ522" s="299">
        <v>119</v>
      </c>
      <c r="CR522" s="294" t="s">
        <v>417</v>
      </c>
      <c r="CS522" s="294" t="s">
        <v>418</v>
      </c>
      <c r="CT522" s="294" t="s">
        <v>420</v>
      </c>
      <c r="CU522" s="301">
        <v>0</v>
      </c>
    </row>
    <row r="523" spans="91:99">
      <c r="CM523" s="299">
        <v>2019</v>
      </c>
      <c r="CN523" s="299">
        <v>3050</v>
      </c>
      <c r="CO523" s="300" t="s">
        <v>254</v>
      </c>
      <c r="CP523" s="299">
        <v>755</v>
      </c>
      <c r="CQ523" s="299">
        <v>120</v>
      </c>
      <c r="CR523" s="294" t="s">
        <v>421</v>
      </c>
      <c r="CS523" s="294" t="s">
        <v>422</v>
      </c>
      <c r="CT523" s="294" t="s">
        <v>322</v>
      </c>
      <c r="CU523" s="301">
        <v>3916929</v>
      </c>
    </row>
    <row r="524" spans="91:99">
      <c r="CM524" s="299">
        <v>2019</v>
      </c>
      <c r="CN524" s="299">
        <v>3050</v>
      </c>
      <c r="CO524" s="300" t="s">
        <v>254</v>
      </c>
      <c r="CP524" s="299">
        <v>755</v>
      </c>
      <c r="CQ524" s="299">
        <v>121</v>
      </c>
      <c r="CR524" s="294" t="s">
        <v>421</v>
      </c>
      <c r="CS524" s="294" t="s">
        <v>422</v>
      </c>
      <c r="CT524" s="294" t="s">
        <v>323</v>
      </c>
      <c r="CU524" s="301">
        <v>2364645</v>
      </c>
    </row>
    <row r="525" spans="91:99">
      <c r="CM525" s="299">
        <v>2019</v>
      </c>
      <c r="CN525" s="299">
        <v>3050</v>
      </c>
      <c r="CO525" s="300" t="s">
        <v>254</v>
      </c>
      <c r="CP525" s="299">
        <v>755</v>
      </c>
      <c r="CQ525" s="299">
        <v>122</v>
      </c>
      <c r="CR525" s="294" t="s">
        <v>421</v>
      </c>
      <c r="CS525" s="294" t="s">
        <v>422</v>
      </c>
      <c r="CT525" s="294" t="s">
        <v>325</v>
      </c>
      <c r="CU525" s="301">
        <v>5514070</v>
      </c>
    </row>
    <row r="526" spans="91:99">
      <c r="CM526" s="299">
        <v>2019</v>
      </c>
      <c r="CN526" s="299">
        <v>3050</v>
      </c>
      <c r="CO526" s="300" t="s">
        <v>254</v>
      </c>
      <c r="CP526" s="299">
        <v>755</v>
      </c>
      <c r="CQ526" s="299">
        <v>123</v>
      </c>
      <c r="CR526" s="294" t="s">
        <v>423</v>
      </c>
      <c r="CS526" s="294" t="s">
        <v>424</v>
      </c>
      <c r="CT526" s="294" t="s">
        <v>425</v>
      </c>
      <c r="CU526" s="301">
        <v>8116800</v>
      </c>
    </row>
    <row r="527" spans="91:99">
      <c r="CM527" s="299">
        <v>2019</v>
      </c>
      <c r="CN527" s="299">
        <v>3050</v>
      </c>
      <c r="CO527" s="300" t="s">
        <v>254</v>
      </c>
      <c r="CP527" s="299">
        <v>755</v>
      </c>
      <c r="CQ527" s="299">
        <v>124</v>
      </c>
      <c r="CR527" s="294" t="s">
        <v>426</v>
      </c>
      <c r="CS527" s="294" t="s">
        <v>427</v>
      </c>
      <c r="CT527" s="294" t="s">
        <v>428</v>
      </c>
      <c r="CU527" s="301">
        <v>2443995</v>
      </c>
    </row>
    <row r="528" spans="91:99">
      <c r="CM528" s="299">
        <v>2019</v>
      </c>
      <c r="CN528" s="299">
        <v>3050</v>
      </c>
      <c r="CO528" s="300" t="s">
        <v>254</v>
      </c>
      <c r="CP528" s="299">
        <v>755</v>
      </c>
      <c r="CQ528" s="299">
        <v>125</v>
      </c>
      <c r="CR528" s="294" t="s">
        <v>429</v>
      </c>
      <c r="CS528" s="294" t="s">
        <v>430</v>
      </c>
      <c r="CT528" s="294" t="s">
        <v>431</v>
      </c>
      <c r="CU528" s="301">
        <v>164695</v>
      </c>
    </row>
    <row r="529" spans="91:99">
      <c r="CM529" s="299">
        <v>2019</v>
      </c>
      <c r="CN529" s="299">
        <v>3050</v>
      </c>
      <c r="CO529" s="300" t="s">
        <v>254</v>
      </c>
      <c r="CP529" s="299">
        <v>755</v>
      </c>
      <c r="CQ529" s="299">
        <v>126</v>
      </c>
      <c r="CR529" s="294" t="s">
        <v>432</v>
      </c>
      <c r="CS529" s="294" t="s">
        <v>433</v>
      </c>
      <c r="CT529" s="294" t="s">
        <v>434</v>
      </c>
      <c r="CU529" s="301">
        <v>0</v>
      </c>
    </row>
    <row r="530" spans="91:99">
      <c r="CM530" s="299">
        <v>2019</v>
      </c>
      <c r="CN530" s="299">
        <v>3050</v>
      </c>
      <c r="CO530" s="300" t="s">
        <v>254</v>
      </c>
      <c r="CP530" s="299">
        <v>755</v>
      </c>
      <c r="CQ530" s="299">
        <v>127</v>
      </c>
      <c r="CR530" s="294" t="s">
        <v>432</v>
      </c>
      <c r="CS530" s="294" t="s">
        <v>433</v>
      </c>
      <c r="CT530" s="294" t="s">
        <v>435</v>
      </c>
      <c r="CU530" s="301">
        <v>11168213</v>
      </c>
    </row>
    <row r="531" spans="91:99">
      <c r="CM531" s="299">
        <v>2019</v>
      </c>
      <c r="CN531" s="299">
        <v>3050</v>
      </c>
      <c r="CO531" s="300" t="s">
        <v>254</v>
      </c>
      <c r="CP531" s="299">
        <v>755</v>
      </c>
      <c r="CQ531" s="299">
        <v>128</v>
      </c>
      <c r="CR531" s="294" t="s">
        <v>432</v>
      </c>
      <c r="CS531" s="294" t="s">
        <v>433</v>
      </c>
      <c r="CT531" s="294" t="s">
        <v>158</v>
      </c>
      <c r="CU531" s="301">
        <v>0</v>
      </c>
    </row>
    <row r="532" spans="91:99">
      <c r="CM532" s="299">
        <v>2019</v>
      </c>
      <c r="CN532" s="299">
        <v>3050</v>
      </c>
      <c r="CO532" s="300" t="s">
        <v>254</v>
      </c>
      <c r="CP532" s="299">
        <v>755</v>
      </c>
      <c r="CQ532" s="299">
        <v>129</v>
      </c>
      <c r="CR532" s="294" t="s">
        <v>432</v>
      </c>
      <c r="CS532" s="294" t="s">
        <v>433</v>
      </c>
      <c r="CT532" s="294" t="s">
        <v>436</v>
      </c>
      <c r="CU532" s="301">
        <v>11168213</v>
      </c>
    </row>
    <row r="533" spans="91:99">
      <c r="CM533" s="299">
        <v>2019</v>
      </c>
      <c r="CN533" s="299">
        <v>3050</v>
      </c>
      <c r="CO533" s="300" t="s">
        <v>254</v>
      </c>
      <c r="CP533" s="299">
        <v>755</v>
      </c>
      <c r="CQ533" s="299">
        <v>130</v>
      </c>
      <c r="CR533" s="294" t="s">
        <v>437</v>
      </c>
      <c r="CS533" s="294" t="s">
        <v>438</v>
      </c>
      <c r="CT533" s="294" t="s">
        <v>439</v>
      </c>
      <c r="CU533" s="301">
        <v>13475</v>
      </c>
    </row>
    <row r="534" spans="91:99">
      <c r="CM534" s="299">
        <v>2019</v>
      </c>
      <c r="CN534" s="299">
        <v>3050</v>
      </c>
      <c r="CO534" s="300" t="s">
        <v>254</v>
      </c>
      <c r="CP534" s="299">
        <v>755</v>
      </c>
      <c r="CQ534" s="299">
        <v>131</v>
      </c>
      <c r="CR534" s="294" t="s">
        <v>437</v>
      </c>
      <c r="CS534" s="294" t="s">
        <v>438</v>
      </c>
      <c r="CT534" s="294" t="s">
        <v>440</v>
      </c>
      <c r="CU534" s="301">
        <v>107</v>
      </c>
    </row>
    <row r="535" spans="91:99">
      <c r="CM535" s="299">
        <v>2019</v>
      </c>
      <c r="CN535" s="299">
        <v>3050</v>
      </c>
      <c r="CO535" s="300" t="s">
        <v>254</v>
      </c>
      <c r="CP535" s="299">
        <v>755</v>
      </c>
      <c r="CQ535" s="299">
        <v>132</v>
      </c>
      <c r="CR535" s="294" t="s">
        <v>437</v>
      </c>
      <c r="CS535" s="294" t="s">
        <v>441</v>
      </c>
      <c r="CT535" s="294" t="s">
        <v>442</v>
      </c>
      <c r="CU535" s="301">
        <v>677</v>
      </c>
    </row>
    <row r="536" spans="91:99">
      <c r="CM536" s="299">
        <v>2019</v>
      </c>
      <c r="CN536" s="299">
        <v>3050</v>
      </c>
      <c r="CO536" s="300" t="s">
        <v>254</v>
      </c>
      <c r="CP536" s="299">
        <v>755</v>
      </c>
      <c r="CQ536" s="299">
        <v>133</v>
      </c>
      <c r="CR536" s="294" t="s">
        <v>437</v>
      </c>
      <c r="CS536" s="294" t="s">
        <v>443</v>
      </c>
      <c r="CT536" s="294" t="s">
        <v>444</v>
      </c>
      <c r="CU536" s="301">
        <v>14259</v>
      </c>
    </row>
    <row r="537" spans="91:99">
      <c r="CM537" s="299">
        <v>2019</v>
      </c>
      <c r="CN537" s="299">
        <v>3050</v>
      </c>
      <c r="CO537" s="300" t="s">
        <v>254</v>
      </c>
      <c r="CP537" s="299">
        <v>755</v>
      </c>
      <c r="CQ537" s="299">
        <v>134</v>
      </c>
      <c r="CR537" s="294" t="s">
        <v>445</v>
      </c>
      <c r="CS537" s="294" t="s">
        <v>446</v>
      </c>
      <c r="CT537" s="294" t="s">
        <v>447</v>
      </c>
      <c r="CU537" s="301">
        <v>546</v>
      </c>
    </row>
    <row r="538" spans="91:99">
      <c r="CM538" s="299">
        <v>2019</v>
      </c>
      <c r="CN538" s="299">
        <v>3410</v>
      </c>
      <c r="CO538" s="300" t="s">
        <v>253</v>
      </c>
      <c r="CP538" s="299">
        <v>755</v>
      </c>
      <c r="CQ538" s="299">
        <v>1</v>
      </c>
      <c r="CR538" s="294" t="s">
        <v>382</v>
      </c>
      <c r="CS538" s="294" t="s">
        <v>383</v>
      </c>
      <c r="CT538" s="294" t="s">
        <v>384</v>
      </c>
      <c r="CU538" s="301">
        <v>3397</v>
      </c>
    </row>
    <row r="539" spans="91:99">
      <c r="CM539" s="299">
        <v>2019</v>
      </c>
      <c r="CN539" s="299">
        <v>3410</v>
      </c>
      <c r="CO539" s="300" t="s">
        <v>253</v>
      </c>
      <c r="CP539" s="299">
        <v>755</v>
      </c>
      <c r="CQ539" s="299">
        <v>2</v>
      </c>
      <c r="CR539" s="294" t="s">
        <v>320</v>
      </c>
      <c r="CS539" s="294" t="s">
        <v>321</v>
      </c>
      <c r="CT539" s="294" t="s">
        <v>322</v>
      </c>
      <c r="CU539" s="301">
        <v>3415996</v>
      </c>
    </row>
    <row r="540" spans="91:99">
      <c r="CM540" s="299">
        <v>2019</v>
      </c>
      <c r="CN540" s="299">
        <v>3410</v>
      </c>
      <c r="CO540" s="300" t="s">
        <v>253</v>
      </c>
      <c r="CP540" s="299">
        <v>755</v>
      </c>
      <c r="CQ540" s="299">
        <v>3</v>
      </c>
      <c r="CR540" s="294" t="s">
        <v>320</v>
      </c>
      <c r="CS540" s="294" t="s">
        <v>321</v>
      </c>
      <c r="CT540" s="294" t="s">
        <v>323</v>
      </c>
      <c r="CU540" s="301">
        <v>871630</v>
      </c>
    </row>
    <row r="541" spans="91:99">
      <c r="CM541" s="299">
        <v>2019</v>
      </c>
      <c r="CN541" s="299">
        <v>3410</v>
      </c>
      <c r="CO541" s="300" t="s">
        <v>253</v>
      </c>
      <c r="CP541" s="299">
        <v>755</v>
      </c>
      <c r="CQ541" s="299">
        <v>4</v>
      </c>
      <c r="CR541" s="294" t="s">
        <v>320</v>
      </c>
      <c r="CS541" s="294" t="s">
        <v>324</v>
      </c>
      <c r="CT541" s="294" t="s">
        <v>325</v>
      </c>
      <c r="CU541" s="301">
        <v>4367179</v>
      </c>
    </row>
    <row r="542" spans="91:99">
      <c r="CM542" s="299">
        <v>2019</v>
      </c>
      <c r="CN542" s="299">
        <v>3410</v>
      </c>
      <c r="CO542" s="300" t="s">
        <v>253</v>
      </c>
      <c r="CP542" s="299">
        <v>755</v>
      </c>
      <c r="CQ542" s="299">
        <v>5</v>
      </c>
      <c r="CR542" s="294" t="s">
        <v>320</v>
      </c>
      <c r="CS542" s="294" t="s">
        <v>324</v>
      </c>
      <c r="CT542" s="294" t="s">
        <v>326</v>
      </c>
      <c r="CU542" s="301">
        <v>8654805</v>
      </c>
    </row>
    <row r="543" spans="91:99">
      <c r="CM543" s="299">
        <v>2019</v>
      </c>
      <c r="CN543" s="299">
        <v>3410</v>
      </c>
      <c r="CO543" s="300" t="s">
        <v>253</v>
      </c>
      <c r="CP543" s="299">
        <v>755</v>
      </c>
      <c r="CQ543" s="299">
        <v>6</v>
      </c>
      <c r="CR543" s="294" t="s">
        <v>320</v>
      </c>
      <c r="CS543" s="294" t="s">
        <v>327</v>
      </c>
      <c r="CT543" s="294" t="s">
        <v>328</v>
      </c>
      <c r="CU543" s="301">
        <v>0</v>
      </c>
    </row>
    <row r="544" spans="91:99">
      <c r="CM544" s="299">
        <v>2019</v>
      </c>
      <c r="CN544" s="299">
        <v>3410</v>
      </c>
      <c r="CO544" s="300" t="s">
        <v>253</v>
      </c>
      <c r="CP544" s="299">
        <v>755</v>
      </c>
      <c r="CQ544" s="299">
        <v>7</v>
      </c>
      <c r="CR544" s="294" t="s">
        <v>320</v>
      </c>
      <c r="CS544" s="294" t="s">
        <v>324</v>
      </c>
      <c r="CT544" s="294" t="s">
        <v>329</v>
      </c>
      <c r="CU544" s="301">
        <v>8654805</v>
      </c>
    </row>
    <row r="545" spans="91:99">
      <c r="CM545" s="299">
        <v>2019</v>
      </c>
      <c r="CN545" s="299">
        <v>3410</v>
      </c>
      <c r="CO545" s="300" t="s">
        <v>253</v>
      </c>
      <c r="CP545" s="299">
        <v>755</v>
      </c>
      <c r="CQ545" s="299">
        <v>8</v>
      </c>
      <c r="CR545" s="294" t="s">
        <v>330</v>
      </c>
      <c r="CS545" s="294" t="s">
        <v>331</v>
      </c>
      <c r="CT545" s="294" t="s">
        <v>322</v>
      </c>
      <c r="CU545" s="301">
        <v>9403635</v>
      </c>
    </row>
    <row r="546" spans="91:99">
      <c r="CM546" s="299">
        <v>2019</v>
      </c>
      <c r="CN546" s="299">
        <v>3410</v>
      </c>
      <c r="CO546" s="300" t="s">
        <v>253</v>
      </c>
      <c r="CP546" s="299">
        <v>755</v>
      </c>
      <c r="CQ546" s="299">
        <v>9</v>
      </c>
      <c r="CR546" s="294" t="s">
        <v>330</v>
      </c>
      <c r="CS546" s="294" t="s">
        <v>331</v>
      </c>
      <c r="CT546" s="294" t="s">
        <v>323</v>
      </c>
      <c r="CU546" s="301">
        <v>1893797</v>
      </c>
    </row>
    <row r="547" spans="91:99">
      <c r="CM547" s="299">
        <v>2019</v>
      </c>
      <c r="CN547" s="299">
        <v>3410</v>
      </c>
      <c r="CO547" s="300" t="s">
        <v>253</v>
      </c>
      <c r="CP547" s="299">
        <v>755</v>
      </c>
      <c r="CQ547" s="299">
        <v>10</v>
      </c>
      <c r="CR547" s="294" t="s">
        <v>330</v>
      </c>
      <c r="CS547" s="294" t="s">
        <v>332</v>
      </c>
      <c r="CT547" s="294" t="s">
        <v>325</v>
      </c>
      <c r="CU547" s="301">
        <v>10786563</v>
      </c>
    </row>
    <row r="548" spans="91:99">
      <c r="CM548" s="299">
        <v>2019</v>
      </c>
      <c r="CN548" s="299">
        <v>3410</v>
      </c>
      <c r="CO548" s="300" t="s">
        <v>253</v>
      </c>
      <c r="CP548" s="299">
        <v>755</v>
      </c>
      <c r="CQ548" s="299">
        <v>11</v>
      </c>
      <c r="CR548" s="294" t="s">
        <v>330</v>
      </c>
      <c r="CS548" s="294" t="s">
        <v>332</v>
      </c>
      <c r="CT548" s="294" t="s">
        <v>333</v>
      </c>
      <c r="CU548" s="301">
        <v>22083995</v>
      </c>
    </row>
    <row r="549" spans="91:99">
      <c r="CM549" s="299">
        <v>2019</v>
      </c>
      <c r="CN549" s="299">
        <v>3410</v>
      </c>
      <c r="CO549" s="300" t="s">
        <v>253</v>
      </c>
      <c r="CP549" s="299">
        <v>755</v>
      </c>
      <c r="CQ549" s="299">
        <v>12</v>
      </c>
      <c r="CR549" s="294" t="s">
        <v>330</v>
      </c>
      <c r="CS549" s="294" t="s">
        <v>334</v>
      </c>
      <c r="CT549" s="294" t="s">
        <v>335</v>
      </c>
      <c r="CU549" s="301">
        <v>470850</v>
      </c>
    </row>
    <row r="550" spans="91:99">
      <c r="CM550" s="299">
        <v>2019</v>
      </c>
      <c r="CN550" s="299">
        <v>3410</v>
      </c>
      <c r="CO550" s="300" t="s">
        <v>253</v>
      </c>
      <c r="CP550" s="299">
        <v>755</v>
      </c>
      <c r="CQ550" s="299">
        <v>13</v>
      </c>
      <c r="CR550" s="294" t="s">
        <v>330</v>
      </c>
      <c r="CS550" s="294" t="s">
        <v>336</v>
      </c>
      <c r="CT550" s="294" t="s">
        <v>308</v>
      </c>
      <c r="CU550" s="301">
        <v>1871802</v>
      </c>
    </row>
    <row r="551" spans="91:99">
      <c r="CM551" s="299">
        <v>2019</v>
      </c>
      <c r="CN551" s="299">
        <v>3410</v>
      </c>
      <c r="CO551" s="300" t="s">
        <v>253</v>
      </c>
      <c r="CP551" s="299">
        <v>755</v>
      </c>
      <c r="CQ551" s="299">
        <v>14</v>
      </c>
      <c r="CR551" s="294" t="s">
        <v>330</v>
      </c>
      <c r="CS551" s="294" t="s">
        <v>337</v>
      </c>
      <c r="CT551" s="294" t="s">
        <v>338</v>
      </c>
      <c r="CU551" s="301">
        <v>24426647</v>
      </c>
    </row>
    <row r="552" spans="91:99">
      <c r="CM552" s="299">
        <v>2019</v>
      </c>
      <c r="CN552" s="299">
        <v>3410</v>
      </c>
      <c r="CO552" s="300" t="s">
        <v>253</v>
      </c>
      <c r="CP552" s="299">
        <v>755</v>
      </c>
      <c r="CQ552" s="299">
        <v>15</v>
      </c>
      <c r="CR552" s="294" t="s">
        <v>385</v>
      </c>
      <c r="CS552" s="294" t="s">
        <v>386</v>
      </c>
      <c r="CT552" s="294" t="s">
        <v>387</v>
      </c>
      <c r="CU552" s="301">
        <v>0</v>
      </c>
    </row>
    <row r="553" spans="91:99">
      <c r="CM553" s="299">
        <v>2019</v>
      </c>
      <c r="CN553" s="299">
        <v>3410</v>
      </c>
      <c r="CO553" s="300" t="s">
        <v>253</v>
      </c>
      <c r="CP553" s="299">
        <v>755</v>
      </c>
      <c r="CQ553" s="299">
        <v>16</v>
      </c>
      <c r="CR553" s="294" t="s">
        <v>385</v>
      </c>
      <c r="CS553" s="294" t="s">
        <v>386</v>
      </c>
      <c r="CT553" s="294" t="s">
        <v>388</v>
      </c>
      <c r="CU553" s="301">
        <v>2554000</v>
      </c>
    </row>
    <row r="554" spans="91:99">
      <c r="CM554" s="299">
        <v>2019</v>
      </c>
      <c r="CN554" s="299">
        <v>3410</v>
      </c>
      <c r="CO554" s="300" t="s">
        <v>253</v>
      </c>
      <c r="CP554" s="299">
        <v>755</v>
      </c>
      <c r="CQ554" s="299">
        <v>17</v>
      </c>
      <c r="CR554" s="294" t="s">
        <v>385</v>
      </c>
      <c r="CS554" s="294" t="s">
        <v>386</v>
      </c>
      <c r="CT554" s="294" t="s">
        <v>389</v>
      </c>
      <c r="CU554" s="301">
        <v>21339000</v>
      </c>
    </row>
    <row r="555" spans="91:99">
      <c r="CM555" s="299">
        <v>2019</v>
      </c>
      <c r="CN555" s="299">
        <v>3410</v>
      </c>
      <c r="CO555" s="300" t="s">
        <v>253</v>
      </c>
      <c r="CP555" s="299">
        <v>755</v>
      </c>
      <c r="CQ555" s="299">
        <v>18</v>
      </c>
      <c r="CR555" s="294" t="s">
        <v>385</v>
      </c>
      <c r="CS555" s="294" t="s">
        <v>386</v>
      </c>
      <c r="CT555" s="294" t="s">
        <v>390</v>
      </c>
      <c r="CU555" s="301">
        <v>3119000</v>
      </c>
    </row>
    <row r="556" spans="91:99">
      <c r="CM556" s="299">
        <v>2019</v>
      </c>
      <c r="CN556" s="299">
        <v>3410</v>
      </c>
      <c r="CO556" s="300" t="s">
        <v>253</v>
      </c>
      <c r="CP556" s="299">
        <v>755</v>
      </c>
      <c r="CQ556" s="299">
        <v>19</v>
      </c>
      <c r="CR556" s="294" t="s">
        <v>385</v>
      </c>
      <c r="CS556" s="294" t="s">
        <v>386</v>
      </c>
      <c r="CT556" s="294" t="s">
        <v>391</v>
      </c>
      <c r="CU556" s="301">
        <v>14728000</v>
      </c>
    </row>
    <row r="557" spans="91:99">
      <c r="CM557" s="299">
        <v>2019</v>
      </c>
      <c r="CN557" s="299">
        <v>3410</v>
      </c>
      <c r="CO557" s="300" t="s">
        <v>253</v>
      </c>
      <c r="CP557" s="299">
        <v>755</v>
      </c>
      <c r="CQ557" s="299">
        <v>20</v>
      </c>
      <c r="CR557" s="294" t="s">
        <v>385</v>
      </c>
      <c r="CS557" s="294" t="s">
        <v>386</v>
      </c>
      <c r="CT557" s="294" t="s">
        <v>392</v>
      </c>
      <c r="CU557" s="301">
        <v>74448000</v>
      </c>
    </row>
    <row r="558" spans="91:99">
      <c r="CM558" s="299">
        <v>2019</v>
      </c>
      <c r="CN558" s="299">
        <v>3410</v>
      </c>
      <c r="CO558" s="300" t="s">
        <v>253</v>
      </c>
      <c r="CP558" s="299">
        <v>755</v>
      </c>
      <c r="CQ558" s="299">
        <v>21</v>
      </c>
      <c r="CR558" s="294" t="s">
        <v>385</v>
      </c>
      <c r="CS558" s="294" t="s">
        <v>386</v>
      </c>
      <c r="CT558" s="294" t="s">
        <v>393</v>
      </c>
      <c r="CU558" s="301">
        <v>1108000</v>
      </c>
    </row>
    <row r="559" spans="91:99">
      <c r="CM559" s="299">
        <v>2019</v>
      </c>
      <c r="CN559" s="299">
        <v>3410</v>
      </c>
      <c r="CO559" s="300" t="s">
        <v>253</v>
      </c>
      <c r="CP559" s="299">
        <v>755</v>
      </c>
      <c r="CQ559" s="299">
        <v>22</v>
      </c>
      <c r="CR559" s="294" t="s">
        <v>385</v>
      </c>
      <c r="CS559" s="294" t="s">
        <v>386</v>
      </c>
      <c r="CT559" s="294" t="s">
        <v>394</v>
      </c>
      <c r="CU559" s="301">
        <v>450000</v>
      </c>
    </row>
    <row r="560" spans="91:99">
      <c r="CM560" s="299">
        <v>2019</v>
      </c>
      <c r="CN560" s="299">
        <v>3410</v>
      </c>
      <c r="CO560" s="300" t="s">
        <v>253</v>
      </c>
      <c r="CP560" s="299">
        <v>755</v>
      </c>
      <c r="CQ560" s="299">
        <v>23</v>
      </c>
      <c r="CR560" s="294" t="s">
        <v>385</v>
      </c>
      <c r="CS560" s="294" t="s">
        <v>386</v>
      </c>
      <c r="CT560" s="294" t="s">
        <v>395</v>
      </c>
      <c r="CU560" s="301">
        <v>0</v>
      </c>
    </row>
    <row r="561" spans="91:99">
      <c r="CM561" s="299">
        <v>2019</v>
      </c>
      <c r="CN561" s="299">
        <v>3410</v>
      </c>
      <c r="CO561" s="300" t="s">
        <v>253</v>
      </c>
      <c r="CP561" s="299">
        <v>755</v>
      </c>
      <c r="CQ561" s="299">
        <v>24</v>
      </c>
      <c r="CR561" s="294" t="s">
        <v>385</v>
      </c>
      <c r="CS561" s="294" t="s">
        <v>386</v>
      </c>
      <c r="CT561" s="294" t="s">
        <v>396</v>
      </c>
      <c r="CU561" s="301">
        <v>1000</v>
      </c>
    </row>
    <row r="562" spans="91:99">
      <c r="CM562" s="299">
        <v>2019</v>
      </c>
      <c r="CN562" s="299">
        <v>3410</v>
      </c>
      <c r="CO562" s="300" t="s">
        <v>253</v>
      </c>
      <c r="CP562" s="299">
        <v>755</v>
      </c>
      <c r="CQ562" s="299">
        <v>25</v>
      </c>
      <c r="CR562" s="294" t="s">
        <v>385</v>
      </c>
      <c r="CS562" s="294" t="s">
        <v>386</v>
      </c>
      <c r="CT562" s="294" t="s">
        <v>397</v>
      </c>
      <c r="CU562" s="301">
        <v>14605000</v>
      </c>
    </row>
    <row r="563" spans="91:99">
      <c r="CM563" s="299">
        <v>2019</v>
      </c>
      <c r="CN563" s="299">
        <v>3410</v>
      </c>
      <c r="CO563" s="300" t="s">
        <v>253</v>
      </c>
      <c r="CP563" s="299">
        <v>755</v>
      </c>
      <c r="CQ563" s="299">
        <v>26</v>
      </c>
      <c r="CR563" s="294" t="s">
        <v>385</v>
      </c>
      <c r="CS563" s="294" t="s">
        <v>386</v>
      </c>
      <c r="CT563" s="294" t="s">
        <v>398</v>
      </c>
      <c r="CU563" s="301">
        <v>3186000</v>
      </c>
    </row>
    <row r="564" spans="91:99">
      <c r="CM564" s="299">
        <v>2019</v>
      </c>
      <c r="CN564" s="299">
        <v>3410</v>
      </c>
      <c r="CO564" s="300" t="s">
        <v>253</v>
      </c>
      <c r="CP564" s="299">
        <v>755</v>
      </c>
      <c r="CQ564" s="299">
        <v>27</v>
      </c>
      <c r="CR564" s="294" t="s">
        <v>385</v>
      </c>
      <c r="CS564" s="294" t="s">
        <v>386</v>
      </c>
      <c r="CT564" s="294" t="s">
        <v>399</v>
      </c>
      <c r="CU564" s="301">
        <v>16000</v>
      </c>
    </row>
    <row r="565" spans="91:99">
      <c r="CM565" s="299">
        <v>2019</v>
      </c>
      <c r="CN565" s="299">
        <v>3410</v>
      </c>
      <c r="CO565" s="300" t="s">
        <v>253</v>
      </c>
      <c r="CP565" s="299">
        <v>755</v>
      </c>
      <c r="CQ565" s="299">
        <v>28</v>
      </c>
      <c r="CR565" s="294" t="s">
        <v>385</v>
      </c>
      <c r="CS565" s="294" t="s">
        <v>386</v>
      </c>
      <c r="CT565" s="294" t="s">
        <v>400</v>
      </c>
      <c r="CU565" s="301">
        <v>3850000</v>
      </c>
    </row>
    <row r="566" spans="91:99">
      <c r="CM566" s="299">
        <v>2019</v>
      </c>
      <c r="CN566" s="299">
        <v>3410</v>
      </c>
      <c r="CO566" s="300" t="s">
        <v>253</v>
      </c>
      <c r="CP566" s="299">
        <v>755</v>
      </c>
      <c r="CQ566" s="299">
        <v>29</v>
      </c>
      <c r="CR566" s="294" t="s">
        <v>385</v>
      </c>
      <c r="CS566" s="294" t="s">
        <v>401</v>
      </c>
      <c r="CT566" s="294" t="s">
        <v>402</v>
      </c>
      <c r="CU566" s="301">
        <v>122000</v>
      </c>
    </row>
    <row r="567" spans="91:99">
      <c r="CM567" s="299">
        <v>2019</v>
      </c>
      <c r="CN567" s="299">
        <v>3410</v>
      </c>
      <c r="CO567" s="300" t="s">
        <v>253</v>
      </c>
      <c r="CP567" s="299">
        <v>755</v>
      </c>
      <c r="CQ567" s="299">
        <v>30</v>
      </c>
      <c r="CR567" s="294" t="s">
        <v>385</v>
      </c>
      <c r="CS567" s="294" t="s">
        <v>401</v>
      </c>
      <c r="CT567" s="294" t="s">
        <v>403</v>
      </c>
      <c r="CU567" s="301">
        <v>139526000</v>
      </c>
    </row>
    <row r="568" spans="91:99">
      <c r="CM568" s="299">
        <v>2019</v>
      </c>
      <c r="CN568" s="299">
        <v>3410</v>
      </c>
      <c r="CO568" s="300" t="s">
        <v>253</v>
      </c>
      <c r="CP568" s="299">
        <v>755</v>
      </c>
      <c r="CQ568" s="299">
        <v>31</v>
      </c>
      <c r="CR568" s="294" t="s">
        <v>385</v>
      </c>
      <c r="CS568" s="294" t="s">
        <v>404</v>
      </c>
      <c r="CT568" s="294" t="s">
        <v>387</v>
      </c>
      <c r="CU568" s="301">
        <v>0</v>
      </c>
    </row>
    <row r="569" spans="91:99">
      <c r="CM569" s="299">
        <v>2019</v>
      </c>
      <c r="CN569" s="299">
        <v>3410</v>
      </c>
      <c r="CO569" s="300" t="s">
        <v>253</v>
      </c>
      <c r="CP569" s="299">
        <v>755</v>
      </c>
      <c r="CQ569" s="299">
        <v>32</v>
      </c>
      <c r="CR569" s="294" t="s">
        <v>385</v>
      </c>
      <c r="CS569" s="294" t="s">
        <v>404</v>
      </c>
      <c r="CT569" s="294" t="s">
        <v>388</v>
      </c>
      <c r="CU569" s="301">
        <v>2242000</v>
      </c>
    </row>
    <row r="570" spans="91:99">
      <c r="CM570" s="299">
        <v>2019</v>
      </c>
      <c r="CN570" s="299">
        <v>3410</v>
      </c>
      <c r="CO570" s="300" t="s">
        <v>253</v>
      </c>
      <c r="CP570" s="299">
        <v>755</v>
      </c>
      <c r="CQ570" s="299">
        <v>33</v>
      </c>
      <c r="CR570" s="294" t="s">
        <v>385</v>
      </c>
      <c r="CS570" s="294" t="s">
        <v>404</v>
      </c>
      <c r="CT570" s="294" t="s">
        <v>389</v>
      </c>
      <c r="CU570" s="301">
        <v>20251000</v>
      </c>
    </row>
    <row r="571" spans="91:99">
      <c r="CM571" s="299">
        <v>2019</v>
      </c>
      <c r="CN571" s="299">
        <v>3410</v>
      </c>
      <c r="CO571" s="300" t="s">
        <v>253</v>
      </c>
      <c r="CP571" s="299">
        <v>755</v>
      </c>
      <c r="CQ571" s="299">
        <v>34</v>
      </c>
      <c r="CR571" s="294" t="s">
        <v>385</v>
      </c>
      <c r="CS571" s="294" t="s">
        <v>404</v>
      </c>
      <c r="CT571" s="294" t="s">
        <v>390</v>
      </c>
      <c r="CU571" s="301">
        <v>3042000</v>
      </c>
    </row>
    <row r="572" spans="91:99">
      <c r="CM572" s="299">
        <v>2019</v>
      </c>
      <c r="CN572" s="299">
        <v>3410</v>
      </c>
      <c r="CO572" s="300" t="s">
        <v>253</v>
      </c>
      <c r="CP572" s="299">
        <v>755</v>
      </c>
      <c r="CQ572" s="299">
        <v>35</v>
      </c>
      <c r="CR572" s="294" t="s">
        <v>385</v>
      </c>
      <c r="CS572" s="294" t="s">
        <v>404</v>
      </c>
      <c r="CT572" s="294" t="s">
        <v>391</v>
      </c>
      <c r="CU572" s="301">
        <v>14799000</v>
      </c>
    </row>
    <row r="573" spans="91:99">
      <c r="CM573" s="299">
        <v>2019</v>
      </c>
      <c r="CN573" s="299">
        <v>3410</v>
      </c>
      <c r="CO573" s="300" t="s">
        <v>253</v>
      </c>
      <c r="CP573" s="299">
        <v>755</v>
      </c>
      <c r="CQ573" s="299">
        <v>36</v>
      </c>
      <c r="CR573" s="294" t="s">
        <v>385</v>
      </c>
      <c r="CS573" s="294" t="s">
        <v>404</v>
      </c>
      <c r="CT573" s="294" t="s">
        <v>392</v>
      </c>
      <c r="CU573" s="301">
        <v>72016000</v>
      </c>
    </row>
    <row r="574" spans="91:99">
      <c r="CM574" s="299">
        <v>2019</v>
      </c>
      <c r="CN574" s="299">
        <v>3410</v>
      </c>
      <c r="CO574" s="300" t="s">
        <v>253</v>
      </c>
      <c r="CP574" s="299">
        <v>755</v>
      </c>
      <c r="CQ574" s="299">
        <v>37</v>
      </c>
      <c r="CR574" s="294" t="s">
        <v>385</v>
      </c>
      <c r="CS574" s="294" t="s">
        <v>404</v>
      </c>
      <c r="CT574" s="294" t="s">
        <v>393</v>
      </c>
      <c r="CU574" s="301">
        <v>1130000</v>
      </c>
    </row>
    <row r="575" spans="91:99">
      <c r="CM575" s="299">
        <v>2019</v>
      </c>
      <c r="CN575" s="299">
        <v>3410</v>
      </c>
      <c r="CO575" s="300" t="s">
        <v>253</v>
      </c>
      <c r="CP575" s="299">
        <v>755</v>
      </c>
      <c r="CQ575" s="299">
        <v>38</v>
      </c>
      <c r="CR575" s="294" t="s">
        <v>385</v>
      </c>
      <c r="CS575" s="294" t="s">
        <v>404</v>
      </c>
      <c r="CT575" s="294" t="s">
        <v>394</v>
      </c>
      <c r="CU575" s="301">
        <v>443000</v>
      </c>
    </row>
    <row r="576" spans="91:99">
      <c r="CM576" s="299">
        <v>2019</v>
      </c>
      <c r="CN576" s="299">
        <v>3410</v>
      </c>
      <c r="CO576" s="300" t="s">
        <v>253</v>
      </c>
      <c r="CP576" s="299">
        <v>755</v>
      </c>
      <c r="CQ576" s="299">
        <v>39</v>
      </c>
      <c r="CR576" s="294" t="s">
        <v>385</v>
      </c>
      <c r="CS576" s="294" t="s">
        <v>404</v>
      </c>
      <c r="CT576" s="294" t="s">
        <v>395</v>
      </c>
      <c r="CU576" s="301">
        <v>3000</v>
      </c>
    </row>
    <row r="577" spans="91:99">
      <c r="CM577" s="299">
        <v>2019</v>
      </c>
      <c r="CN577" s="299">
        <v>3410</v>
      </c>
      <c r="CO577" s="300" t="s">
        <v>253</v>
      </c>
      <c r="CP577" s="299">
        <v>755</v>
      </c>
      <c r="CQ577" s="299">
        <v>40</v>
      </c>
      <c r="CR577" s="294" t="s">
        <v>385</v>
      </c>
      <c r="CS577" s="294" t="s">
        <v>404</v>
      </c>
      <c r="CT577" s="294" t="s">
        <v>396</v>
      </c>
      <c r="CU577" s="301">
        <v>0</v>
      </c>
    </row>
    <row r="578" spans="91:99">
      <c r="CM578" s="299">
        <v>2019</v>
      </c>
      <c r="CN578" s="299">
        <v>3410</v>
      </c>
      <c r="CO578" s="300" t="s">
        <v>253</v>
      </c>
      <c r="CP578" s="299">
        <v>755</v>
      </c>
      <c r="CQ578" s="299">
        <v>41</v>
      </c>
      <c r="CR578" s="294" t="s">
        <v>385</v>
      </c>
      <c r="CS578" s="294" t="s">
        <v>404</v>
      </c>
      <c r="CT578" s="294" t="s">
        <v>397</v>
      </c>
      <c r="CU578" s="301">
        <v>761000</v>
      </c>
    </row>
    <row r="579" spans="91:99">
      <c r="CM579" s="299">
        <v>2019</v>
      </c>
      <c r="CN579" s="299">
        <v>3410</v>
      </c>
      <c r="CO579" s="300" t="s">
        <v>253</v>
      </c>
      <c r="CP579" s="299">
        <v>755</v>
      </c>
      <c r="CQ579" s="299">
        <v>42</v>
      </c>
      <c r="CR579" s="294" t="s">
        <v>385</v>
      </c>
      <c r="CS579" s="294" t="s">
        <v>404</v>
      </c>
      <c r="CT579" s="294" t="s">
        <v>398</v>
      </c>
      <c r="CU579" s="301">
        <v>1885000</v>
      </c>
    </row>
    <row r="580" spans="91:99">
      <c r="CM580" s="299">
        <v>2019</v>
      </c>
      <c r="CN580" s="299">
        <v>3410</v>
      </c>
      <c r="CO580" s="300" t="s">
        <v>253</v>
      </c>
      <c r="CP580" s="299">
        <v>755</v>
      </c>
      <c r="CQ580" s="299">
        <v>43</v>
      </c>
      <c r="CR580" s="294" t="s">
        <v>385</v>
      </c>
      <c r="CS580" s="294" t="s">
        <v>404</v>
      </c>
      <c r="CT580" s="294" t="s">
        <v>399</v>
      </c>
      <c r="CU580" s="301">
        <v>14000</v>
      </c>
    </row>
    <row r="581" spans="91:99">
      <c r="CM581" s="299">
        <v>2019</v>
      </c>
      <c r="CN581" s="299">
        <v>3410</v>
      </c>
      <c r="CO581" s="300" t="s">
        <v>253</v>
      </c>
      <c r="CP581" s="299">
        <v>755</v>
      </c>
      <c r="CQ581" s="299">
        <v>44</v>
      </c>
      <c r="CR581" s="294" t="s">
        <v>385</v>
      </c>
      <c r="CS581" s="294" t="s">
        <v>404</v>
      </c>
      <c r="CT581" s="294" t="s">
        <v>400</v>
      </c>
      <c r="CU581" s="301">
        <v>4144000</v>
      </c>
    </row>
    <row r="582" spans="91:99">
      <c r="CM582" s="299">
        <v>2019</v>
      </c>
      <c r="CN582" s="299">
        <v>3410</v>
      </c>
      <c r="CO582" s="300" t="s">
        <v>253</v>
      </c>
      <c r="CP582" s="299">
        <v>755</v>
      </c>
      <c r="CQ582" s="299">
        <v>45</v>
      </c>
      <c r="CR582" s="294" t="s">
        <v>385</v>
      </c>
      <c r="CS582" s="294" t="s">
        <v>405</v>
      </c>
      <c r="CT582" s="294" t="s">
        <v>402</v>
      </c>
      <c r="CU582" s="301">
        <v>212000</v>
      </c>
    </row>
    <row r="583" spans="91:99">
      <c r="CM583" s="299">
        <v>2019</v>
      </c>
      <c r="CN583" s="299">
        <v>3410</v>
      </c>
      <c r="CO583" s="300" t="s">
        <v>253</v>
      </c>
      <c r="CP583" s="299">
        <v>755</v>
      </c>
      <c r="CQ583" s="299">
        <v>46</v>
      </c>
      <c r="CR583" s="294" t="s">
        <v>385</v>
      </c>
      <c r="CS583" s="294" t="s">
        <v>405</v>
      </c>
      <c r="CT583" s="294" t="s">
        <v>406</v>
      </c>
      <c r="CU583" s="301">
        <v>120942000</v>
      </c>
    </row>
    <row r="584" spans="91:99">
      <c r="CM584" s="299">
        <v>2019</v>
      </c>
      <c r="CN584" s="299">
        <v>3410</v>
      </c>
      <c r="CO584" s="300" t="s">
        <v>253</v>
      </c>
      <c r="CP584" s="299">
        <v>755</v>
      </c>
      <c r="CQ584" s="299">
        <v>47</v>
      </c>
      <c r="CR584" s="294" t="s">
        <v>385</v>
      </c>
      <c r="CS584" s="294" t="s">
        <v>407</v>
      </c>
      <c r="CT584" s="294" t="s">
        <v>387</v>
      </c>
      <c r="CU584" s="301">
        <v>0</v>
      </c>
    </row>
    <row r="585" spans="91:99">
      <c r="CM585" s="299">
        <v>2019</v>
      </c>
      <c r="CN585" s="299">
        <v>3410</v>
      </c>
      <c r="CO585" s="300" t="s">
        <v>253</v>
      </c>
      <c r="CP585" s="299">
        <v>755</v>
      </c>
      <c r="CQ585" s="299">
        <v>48</v>
      </c>
      <c r="CR585" s="294" t="s">
        <v>385</v>
      </c>
      <c r="CS585" s="294" t="s">
        <v>407</v>
      </c>
      <c r="CT585" s="294" t="s">
        <v>388</v>
      </c>
      <c r="CU585" s="301">
        <v>3444000</v>
      </c>
    </row>
    <row r="586" spans="91:99">
      <c r="CM586" s="299">
        <v>2019</v>
      </c>
      <c r="CN586" s="299">
        <v>3410</v>
      </c>
      <c r="CO586" s="300" t="s">
        <v>253</v>
      </c>
      <c r="CP586" s="299">
        <v>755</v>
      </c>
      <c r="CQ586" s="299">
        <v>49</v>
      </c>
      <c r="CR586" s="294" t="s">
        <v>385</v>
      </c>
      <c r="CS586" s="294" t="s">
        <v>407</v>
      </c>
      <c r="CT586" s="294" t="s">
        <v>389</v>
      </c>
      <c r="CU586" s="301">
        <v>18967000</v>
      </c>
    </row>
    <row r="587" spans="91:99">
      <c r="CM587" s="299">
        <v>2019</v>
      </c>
      <c r="CN587" s="299">
        <v>3410</v>
      </c>
      <c r="CO587" s="300" t="s">
        <v>253</v>
      </c>
      <c r="CP587" s="299">
        <v>755</v>
      </c>
      <c r="CQ587" s="299">
        <v>50</v>
      </c>
      <c r="CR587" s="294" t="s">
        <v>385</v>
      </c>
      <c r="CS587" s="294" t="s">
        <v>407</v>
      </c>
      <c r="CT587" s="294" t="s">
        <v>390</v>
      </c>
      <c r="CU587" s="301">
        <v>27319000</v>
      </c>
    </row>
    <row r="588" spans="91:99">
      <c r="CM588" s="299">
        <v>2019</v>
      </c>
      <c r="CN588" s="299">
        <v>3410</v>
      </c>
      <c r="CO588" s="300" t="s">
        <v>253</v>
      </c>
      <c r="CP588" s="299">
        <v>755</v>
      </c>
      <c r="CQ588" s="299">
        <v>51</v>
      </c>
      <c r="CR588" s="294" t="s">
        <v>385</v>
      </c>
      <c r="CS588" s="294" t="s">
        <v>407</v>
      </c>
      <c r="CT588" s="294" t="s">
        <v>391</v>
      </c>
      <c r="CU588" s="301">
        <v>3029000</v>
      </c>
    </row>
    <row r="589" spans="91:99">
      <c r="CM589" s="299">
        <v>2019</v>
      </c>
      <c r="CN589" s="299">
        <v>3410</v>
      </c>
      <c r="CO589" s="300" t="s">
        <v>253</v>
      </c>
      <c r="CP589" s="299">
        <v>755</v>
      </c>
      <c r="CQ589" s="299">
        <v>52</v>
      </c>
      <c r="CR589" s="294" t="s">
        <v>385</v>
      </c>
      <c r="CS589" s="294" t="s">
        <v>407</v>
      </c>
      <c r="CT589" s="294" t="s">
        <v>392</v>
      </c>
      <c r="CU589" s="301">
        <v>39721000</v>
      </c>
    </row>
    <row r="590" spans="91:99">
      <c r="CM590" s="299">
        <v>2019</v>
      </c>
      <c r="CN590" s="299">
        <v>3410</v>
      </c>
      <c r="CO590" s="300" t="s">
        <v>253</v>
      </c>
      <c r="CP590" s="299">
        <v>755</v>
      </c>
      <c r="CQ590" s="299">
        <v>53</v>
      </c>
      <c r="CR590" s="294" t="s">
        <v>385</v>
      </c>
      <c r="CS590" s="294" t="s">
        <v>407</v>
      </c>
      <c r="CT590" s="294" t="s">
        <v>393</v>
      </c>
      <c r="CU590" s="301">
        <v>67000</v>
      </c>
    </row>
    <row r="591" spans="91:99">
      <c r="CM591" s="299">
        <v>2019</v>
      </c>
      <c r="CN591" s="299">
        <v>3410</v>
      </c>
      <c r="CO591" s="300" t="s">
        <v>253</v>
      </c>
      <c r="CP591" s="299">
        <v>755</v>
      </c>
      <c r="CQ591" s="299">
        <v>54</v>
      </c>
      <c r="CR591" s="294" t="s">
        <v>385</v>
      </c>
      <c r="CS591" s="294" t="s">
        <v>407</v>
      </c>
      <c r="CT591" s="294" t="s">
        <v>394</v>
      </c>
      <c r="CU591" s="301">
        <v>28216000</v>
      </c>
    </row>
    <row r="592" spans="91:99">
      <c r="CM592" s="299">
        <v>2019</v>
      </c>
      <c r="CN592" s="299">
        <v>3410</v>
      </c>
      <c r="CO592" s="300" t="s">
        <v>253</v>
      </c>
      <c r="CP592" s="299">
        <v>755</v>
      </c>
      <c r="CQ592" s="299">
        <v>55</v>
      </c>
      <c r="CR592" s="294" t="s">
        <v>385</v>
      </c>
      <c r="CS592" s="294" t="s">
        <v>407</v>
      </c>
      <c r="CT592" s="294" t="s">
        <v>395</v>
      </c>
      <c r="CU592" s="301">
        <v>0</v>
      </c>
    </row>
    <row r="593" spans="91:99">
      <c r="CM593" s="299">
        <v>2019</v>
      </c>
      <c r="CN593" s="299">
        <v>3410</v>
      </c>
      <c r="CO593" s="300" t="s">
        <v>253</v>
      </c>
      <c r="CP593" s="299">
        <v>755</v>
      </c>
      <c r="CQ593" s="299">
        <v>56</v>
      </c>
      <c r="CR593" s="294" t="s">
        <v>385</v>
      </c>
      <c r="CS593" s="294" t="s">
        <v>407</v>
      </c>
      <c r="CT593" s="294" t="s">
        <v>396</v>
      </c>
      <c r="CU593" s="301">
        <v>0</v>
      </c>
    </row>
    <row r="594" spans="91:99">
      <c r="CM594" s="299">
        <v>2019</v>
      </c>
      <c r="CN594" s="299">
        <v>3410</v>
      </c>
      <c r="CO594" s="300" t="s">
        <v>253</v>
      </c>
      <c r="CP594" s="299">
        <v>755</v>
      </c>
      <c r="CQ594" s="299">
        <v>57</v>
      </c>
      <c r="CR594" s="294" t="s">
        <v>385</v>
      </c>
      <c r="CS594" s="294" t="s">
        <v>407</v>
      </c>
      <c r="CT594" s="294" t="s">
        <v>397</v>
      </c>
      <c r="CU594" s="301">
        <v>41357000</v>
      </c>
    </row>
    <row r="595" spans="91:99">
      <c r="CM595" s="299">
        <v>2019</v>
      </c>
      <c r="CN595" s="299">
        <v>3410</v>
      </c>
      <c r="CO595" s="300" t="s">
        <v>253</v>
      </c>
      <c r="CP595" s="299">
        <v>755</v>
      </c>
      <c r="CQ595" s="299">
        <v>58</v>
      </c>
      <c r="CR595" s="294" t="s">
        <v>385</v>
      </c>
      <c r="CS595" s="294" t="s">
        <v>407</v>
      </c>
      <c r="CT595" s="294" t="s">
        <v>398</v>
      </c>
      <c r="CU595" s="301">
        <v>9719000</v>
      </c>
    </row>
    <row r="596" spans="91:99">
      <c r="CM596" s="299">
        <v>2019</v>
      </c>
      <c r="CN596" s="299">
        <v>3410</v>
      </c>
      <c r="CO596" s="300" t="s">
        <v>253</v>
      </c>
      <c r="CP596" s="299">
        <v>755</v>
      </c>
      <c r="CQ596" s="299">
        <v>59</v>
      </c>
      <c r="CR596" s="294" t="s">
        <v>385</v>
      </c>
      <c r="CS596" s="294" t="s">
        <v>407</v>
      </c>
      <c r="CT596" s="294" t="s">
        <v>399</v>
      </c>
      <c r="CU596" s="301">
        <v>0</v>
      </c>
    </row>
    <row r="597" spans="91:99">
      <c r="CM597" s="299">
        <v>2019</v>
      </c>
      <c r="CN597" s="299">
        <v>3410</v>
      </c>
      <c r="CO597" s="300" t="s">
        <v>253</v>
      </c>
      <c r="CP597" s="299">
        <v>755</v>
      </c>
      <c r="CQ597" s="299">
        <v>60</v>
      </c>
      <c r="CR597" s="294" t="s">
        <v>385</v>
      </c>
      <c r="CS597" s="294" t="s">
        <v>407</v>
      </c>
      <c r="CT597" s="294" t="s">
        <v>400</v>
      </c>
      <c r="CU597" s="301">
        <v>4818000</v>
      </c>
    </row>
    <row r="598" spans="91:99">
      <c r="CM598" s="299">
        <v>2019</v>
      </c>
      <c r="CN598" s="299">
        <v>3410</v>
      </c>
      <c r="CO598" s="300" t="s">
        <v>253</v>
      </c>
      <c r="CP598" s="299">
        <v>755</v>
      </c>
      <c r="CQ598" s="299">
        <v>61</v>
      </c>
      <c r="CR598" s="294" t="s">
        <v>385</v>
      </c>
      <c r="CS598" s="294" t="s">
        <v>407</v>
      </c>
      <c r="CT598" s="294" t="s">
        <v>408</v>
      </c>
      <c r="CU598" s="301">
        <v>8312000</v>
      </c>
    </row>
    <row r="599" spans="91:99">
      <c r="CM599" s="299">
        <v>2019</v>
      </c>
      <c r="CN599" s="299">
        <v>3410</v>
      </c>
      <c r="CO599" s="300" t="s">
        <v>253</v>
      </c>
      <c r="CP599" s="299">
        <v>755</v>
      </c>
      <c r="CQ599" s="299">
        <v>62</v>
      </c>
      <c r="CR599" s="294" t="s">
        <v>385</v>
      </c>
      <c r="CS599" s="294" t="s">
        <v>407</v>
      </c>
      <c r="CT599" s="294" t="s">
        <v>409</v>
      </c>
      <c r="CU599" s="301">
        <v>68768000</v>
      </c>
    </row>
    <row r="600" spans="91:99">
      <c r="CM600" s="299">
        <v>2019</v>
      </c>
      <c r="CN600" s="299">
        <v>3410</v>
      </c>
      <c r="CO600" s="300" t="s">
        <v>253</v>
      </c>
      <c r="CP600" s="299">
        <v>755</v>
      </c>
      <c r="CQ600" s="299">
        <v>63</v>
      </c>
      <c r="CR600" s="294" t="s">
        <v>385</v>
      </c>
      <c r="CS600" s="294" t="s">
        <v>410</v>
      </c>
      <c r="CT600" s="294" t="s">
        <v>402</v>
      </c>
      <c r="CU600" s="301">
        <v>65000</v>
      </c>
    </row>
    <row r="601" spans="91:99">
      <c r="CM601" s="299">
        <v>2019</v>
      </c>
      <c r="CN601" s="299">
        <v>3410</v>
      </c>
      <c r="CO601" s="300" t="s">
        <v>253</v>
      </c>
      <c r="CP601" s="299">
        <v>755</v>
      </c>
      <c r="CQ601" s="299">
        <v>64</v>
      </c>
      <c r="CR601" s="294" t="s">
        <v>385</v>
      </c>
      <c r="CS601" s="294" t="s">
        <v>410</v>
      </c>
      <c r="CT601" s="294" t="s">
        <v>411</v>
      </c>
      <c r="CU601" s="301">
        <v>253802000</v>
      </c>
    </row>
    <row r="602" spans="91:99">
      <c r="CM602" s="299">
        <v>2019</v>
      </c>
      <c r="CN602" s="299">
        <v>3410</v>
      </c>
      <c r="CO602" s="300" t="s">
        <v>253</v>
      </c>
      <c r="CP602" s="299">
        <v>755</v>
      </c>
      <c r="CQ602" s="299">
        <v>65</v>
      </c>
      <c r="CR602" s="294" t="s">
        <v>385</v>
      </c>
      <c r="CS602" s="294" t="s">
        <v>412</v>
      </c>
      <c r="CT602" s="294" t="s">
        <v>387</v>
      </c>
      <c r="CU602" s="301">
        <v>0</v>
      </c>
    </row>
    <row r="603" spans="91:99">
      <c r="CM603" s="299">
        <v>2019</v>
      </c>
      <c r="CN603" s="299">
        <v>3410</v>
      </c>
      <c r="CO603" s="300" t="s">
        <v>253</v>
      </c>
      <c r="CP603" s="299">
        <v>755</v>
      </c>
      <c r="CQ603" s="299">
        <v>66</v>
      </c>
      <c r="CR603" s="294" t="s">
        <v>385</v>
      </c>
      <c r="CS603" s="294" t="s">
        <v>412</v>
      </c>
      <c r="CT603" s="294" t="s">
        <v>388</v>
      </c>
      <c r="CU603" s="301">
        <v>2728000</v>
      </c>
    </row>
    <row r="604" spans="91:99">
      <c r="CM604" s="299">
        <v>2019</v>
      </c>
      <c r="CN604" s="299">
        <v>3410</v>
      </c>
      <c r="CO604" s="300" t="s">
        <v>253</v>
      </c>
      <c r="CP604" s="299">
        <v>755</v>
      </c>
      <c r="CQ604" s="299">
        <v>67</v>
      </c>
      <c r="CR604" s="294" t="s">
        <v>385</v>
      </c>
      <c r="CS604" s="294" t="s">
        <v>412</v>
      </c>
      <c r="CT604" s="294" t="s">
        <v>389</v>
      </c>
      <c r="CU604" s="301">
        <v>11750000</v>
      </c>
    </row>
    <row r="605" spans="91:99">
      <c r="CM605" s="299">
        <v>2019</v>
      </c>
      <c r="CN605" s="299">
        <v>3410</v>
      </c>
      <c r="CO605" s="300" t="s">
        <v>253</v>
      </c>
      <c r="CP605" s="299">
        <v>755</v>
      </c>
      <c r="CQ605" s="299">
        <v>68</v>
      </c>
      <c r="CR605" s="294" t="s">
        <v>385</v>
      </c>
      <c r="CS605" s="294" t="s">
        <v>412</v>
      </c>
      <c r="CT605" s="294" t="s">
        <v>390</v>
      </c>
      <c r="CU605" s="301">
        <v>27112000</v>
      </c>
    </row>
    <row r="606" spans="91:99">
      <c r="CM606" s="299">
        <v>2019</v>
      </c>
      <c r="CN606" s="299">
        <v>3410</v>
      </c>
      <c r="CO606" s="300" t="s">
        <v>253</v>
      </c>
      <c r="CP606" s="299">
        <v>755</v>
      </c>
      <c r="CQ606" s="299">
        <v>69</v>
      </c>
      <c r="CR606" s="294" t="s">
        <v>385</v>
      </c>
      <c r="CS606" s="294" t="s">
        <v>412</v>
      </c>
      <c r="CT606" s="294" t="s">
        <v>391</v>
      </c>
      <c r="CU606" s="301">
        <v>2928000</v>
      </c>
    </row>
    <row r="607" spans="91:99">
      <c r="CM607" s="299">
        <v>2019</v>
      </c>
      <c r="CN607" s="299">
        <v>3410</v>
      </c>
      <c r="CO607" s="300" t="s">
        <v>253</v>
      </c>
      <c r="CP607" s="299">
        <v>755</v>
      </c>
      <c r="CQ607" s="299">
        <v>70</v>
      </c>
      <c r="CR607" s="294" t="s">
        <v>385</v>
      </c>
      <c r="CS607" s="294" t="s">
        <v>412</v>
      </c>
      <c r="CT607" s="294" t="s">
        <v>392</v>
      </c>
      <c r="CU607" s="301">
        <v>40736000</v>
      </c>
    </row>
    <row r="608" spans="91:99">
      <c r="CM608" s="299">
        <v>2019</v>
      </c>
      <c r="CN608" s="299">
        <v>3410</v>
      </c>
      <c r="CO608" s="300" t="s">
        <v>253</v>
      </c>
      <c r="CP608" s="299">
        <v>755</v>
      </c>
      <c r="CQ608" s="299">
        <v>71</v>
      </c>
      <c r="CR608" s="294" t="s">
        <v>385</v>
      </c>
      <c r="CS608" s="294" t="s">
        <v>412</v>
      </c>
      <c r="CT608" s="294" t="s">
        <v>393</v>
      </c>
      <c r="CU608" s="301">
        <v>91000</v>
      </c>
    </row>
    <row r="609" spans="91:99">
      <c r="CM609" s="299">
        <v>2019</v>
      </c>
      <c r="CN609" s="299">
        <v>3410</v>
      </c>
      <c r="CO609" s="300" t="s">
        <v>253</v>
      </c>
      <c r="CP609" s="299">
        <v>755</v>
      </c>
      <c r="CQ609" s="299">
        <v>72</v>
      </c>
      <c r="CR609" s="294" t="s">
        <v>385</v>
      </c>
      <c r="CS609" s="294" t="s">
        <v>412</v>
      </c>
      <c r="CT609" s="294" t="s">
        <v>394</v>
      </c>
      <c r="CU609" s="301">
        <v>23451000</v>
      </c>
    </row>
    <row r="610" spans="91:99">
      <c r="CM610" s="299">
        <v>2019</v>
      </c>
      <c r="CN610" s="299">
        <v>3410</v>
      </c>
      <c r="CO610" s="300" t="s">
        <v>253</v>
      </c>
      <c r="CP610" s="299">
        <v>755</v>
      </c>
      <c r="CQ610" s="299">
        <v>73</v>
      </c>
      <c r="CR610" s="294" t="s">
        <v>385</v>
      </c>
      <c r="CS610" s="294" t="s">
        <v>412</v>
      </c>
      <c r="CT610" s="294" t="s">
        <v>395</v>
      </c>
      <c r="CU610" s="301">
        <v>0</v>
      </c>
    </row>
    <row r="611" spans="91:99">
      <c r="CM611" s="299">
        <v>2019</v>
      </c>
      <c r="CN611" s="299">
        <v>3410</v>
      </c>
      <c r="CO611" s="300" t="s">
        <v>253</v>
      </c>
      <c r="CP611" s="299">
        <v>755</v>
      </c>
      <c r="CQ611" s="299">
        <v>74</v>
      </c>
      <c r="CR611" s="294" t="s">
        <v>385</v>
      </c>
      <c r="CS611" s="294" t="s">
        <v>412</v>
      </c>
      <c r="CT611" s="294" t="s">
        <v>396</v>
      </c>
      <c r="CU611" s="301">
        <v>0</v>
      </c>
    </row>
    <row r="612" spans="91:99">
      <c r="CM612" s="299">
        <v>2019</v>
      </c>
      <c r="CN612" s="299">
        <v>3410</v>
      </c>
      <c r="CO612" s="300" t="s">
        <v>253</v>
      </c>
      <c r="CP612" s="299">
        <v>755</v>
      </c>
      <c r="CQ612" s="299">
        <v>75</v>
      </c>
      <c r="CR612" s="294" t="s">
        <v>385</v>
      </c>
      <c r="CS612" s="294" t="s">
        <v>412</v>
      </c>
      <c r="CT612" s="294" t="s">
        <v>397</v>
      </c>
      <c r="CU612" s="301">
        <v>1733000</v>
      </c>
    </row>
    <row r="613" spans="91:99">
      <c r="CM613" s="299">
        <v>2019</v>
      </c>
      <c r="CN613" s="299">
        <v>3410</v>
      </c>
      <c r="CO613" s="300" t="s">
        <v>253</v>
      </c>
      <c r="CP613" s="299">
        <v>755</v>
      </c>
      <c r="CQ613" s="299">
        <v>76</v>
      </c>
      <c r="CR613" s="294" t="s">
        <v>385</v>
      </c>
      <c r="CS613" s="294" t="s">
        <v>412</v>
      </c>
      <c r="CT613" s="294" t="s">
        <v>398</v>
      </c>
      <c r="CU613" s="301">
        <v>3996000</v>
      </c>
    </row>
    <row r="614" spans="91:99">
      <c r="CM614" s="299">
        <v>2019</v>
      </c>
      <c r="CN614" s="299">
        <v>3410</v>
      </c>
      <c r="CO614" s="300" t="s">
        <v>253</v>
      </c>
      <c r="CP614" s="299">
        <v>755</v>
      </c>
      <c r="CQ614" s="299">
        <v>77</v>
      </c>
      <c r="CR614" s="294" t="s">
        <v>385</v>
      </c>
      <c r="CS614" s="294" t="s">
        <v>412</v>
      </c>
      <c r="CT614" s="294" t="s">
        <v>399</v>
      </c>
      <c r="CU614" s="301">
        <v>0</v>
      </c>
    </row>
    <row r="615" spans="91:99">
      <c r="CM615" s="299">
        <v>2019</v>
      </c>
      <c r="CN615" s="299">
        <v>3410</v>
      </c>
      <c r="CO615" s="300" t="s">
        <v>253</v>
      </c>
      <c r="CP615" s="299">
        <v>755</v>
      </c>
      <c r="CQ615" s="299">
        <v>78</v>
      </c>
      <c r="CR615" s="294" t="s">
        <v>385</v>
      </c>
      <c r="CS615" s="294" t="s">
        <v>412</v>
      </c>
      <c r="CT615" s="294" t="s">
        <v>400</v>
      </c>
      <c r="CU615" s="301">
        <v>4227000</v>
      </c>
    </row>
    <row r="616" spans="91:99">
      <c r="CM616" s="299">
        <v>2019</v>
      </c>
      <c r="CN616" s="299">
        <v>3410</v>
      </c>
      <c r="CO616" s="300" t="s">
        <v>253</v>
      </c>
      <c r="CP616" s="299">
        <v>755</v>
      </c>
      <c r="CQ616" s="299">
        <v>79</v>
      </c>
      <c r="CR616" s="294" t="s">
        <v>385</v>
      </c>
      <c r="CS616" s="294" t="s">
        <v>412</v>
      </c>
      <c r="CT616" s="294" t="s">
        <v>408</v>
      </c>
      <c r="CU616" s="301">
        <v>8740000</v>
      </c>
    </row>
    <row r="617" spans="91:99">
      <c r="CM617" s="299">
        <v>2019</v>
      </c>
      <c r="CN617" s="299">
        <v>3410</v>
      </c>
      <c r="CO617" s="300" t="s">
        <v>253</v>
      </c>
      <c r="CP617" s="299">
        <v>755</v>
      </c>
      <c r="CQ617" s="299">
        <v>80</v>
      </c>
      <c r="CR617" s="294" t="s">
        <v>385</v>
      </c>
      <c r="CS617" s="294" t="s">
        <v>412</v>
      </c>
      <c r="CT617" s="294" t="s">
        <v>409</v>
      </c>
      <c r="CU617" s="301">
        <v>72803000</v>
      </c>
    </row>
    <row r="618" spans="91:99">
      <c r="CM618" s="299">
        <v>2019</v>
      </c>
      <c r="CN618" s="299">
        <v>3410</v>
      </c>
      <c r="CO618" s="300" t="s">
        <v>253</v>
      </c>
      <c r="CP618" s="299">
        <v>755</v>
      </c>
      <c r="CQ618" s="299">
        <v>81</v>
      </c>
      <c r="CR618" s="294" t="s">
        <v>385</v>
      </c>
      <c r="CS618" s="294" t="s">
        <v>413</v>
      </c>
      <c r="CT618" s="294" t="s">
        <v>402</v>
      </c>
      <c r="CU618" s="301">
        <v>84000</v>
      </c>
    </row>
    <row r="619" spans="91:99">
      <c r="CM619" s="299">
        <v>2019</v>
      </c>
      <c r="CN619" s="299">
        <v>3410</v>
      </c>
      <c r="CO619" s="300" t="s">
        <v>253</v>
      </c>
      <c r="CP619" s="299">
        <v>755</v>
      </c>
      <c r="CQ619" s="299">
        <v>82</v>
      </c>
      <c r="CR619" s="294" t="s">
        <v>385</v>
      </c>
      <c r="CS619" s="294" t="s">
        <v>413</v>
      </c>
      <c r="CT619" s="294" t="s">
        <v>414</v>
      </c>
      <c r="CU619" s="301">
        <v>200379000</v>
      </c>
    </row>
    <row r="620" spans="91:99">
      <c r="CM620" s="299">
        <v>2019</v>
      </c>
      <c r="CN620" s="299">
        <v>3410</v>
      </c>
      <c r="CO620" s="300" t="s">
        <v>253</v>
      </c>
      <c r="CP620" s="299">
        <v>755</v>
      </c>
      <c r="CQ620" s="299">
        <v>83</v>
      </c>
      <c r="CR620" s="294" t="s">
        <v>377</v>
      </c>
      <c r="CS620" s="294" t="s">
        <v>378</v>
      </c>
      <c r="CT620" s="294" t="s">
        <v>415</v>
      </c>
      <c r="CU620" s="301">
        <v>2903000</v>
      </c>
    </row>
    <row r="621" spans="91:99">
      <c r="CM621" s="299">
        <v>2019</v>
      </c>
      <c r="CN621" s="299">
        <v>3410</v>
      </c>
      <c r="CO621" s="300" t="s">
        <v>253</v>
      </c>
      <c r="CP621" s="299">
        <v>755</v>
      </c>
      <c r="CQ621" s="299">
        <v>84</v>
      </c>
      <c r="CR621" s="294" t="s">
        <v>377</v>
      </c>
      <c r="CS621" s="294" t="s">
        <v>378</v>
      </c>
      <c r="CT621" s="294" t="s">
        <v>416</v>
      </c>
      <c r="CU621" s="301">
        <v>0</v>
      </c>
    </row>
    <row r="622" spans="91:99">
      <c r="CM622" s="299">
        <v>2019</v>
      </c>
      <c r="CN622" s="299">
        <v>3410</v>
      </c>
      <c r="CO622" s="300" t="s">
        <v>253</v>
      </c>
      <c r="CP622" s="299">
        <v>755</v>
      </c>
      <c r="CQ622" s="299">
        <v>85</v>
      </c>
      <c r="CR622" s="294" t="s">
        <v>339</v>
      </c>
      <c r="CS622" s="294" t="s">
        <v>340</v>
      </c>
      <c r="CT622" s="294" t="s">
        <v>322</v>
      </c>
      <c r="CU622" s="301">
        <v>308306000</v>
      </c>
    </row>
    <row r="623" spans="91:99">
      <c r="CM623" s="299">
        <v>2019</v>
      </c>
      <c r="CN623" s="299">
        <v>3410</v>
      </c>
      <c r="CO623" s="300" t="s">
        <v>253</v>
      </c>
      <c r="CP623" s="299">
        <v>755</v>
      </c>
      <c r="CQ623" s="299">
        <v>86</v>
      </c>
      <c r="CR623" s="294" t="s">
        <v>339</v>
      </c>
      <c r="CS623" s="294" t="s">
        <v>340</v>
      </c>
      <c r="CT623" s="294" t="s">
        <v>323</v>
      </c>
      <c r="CU623" s="301">
        <v>27249000</v>
      </c>
    </row>
    <row r="624" spans="91:99">
      <c r="CM624" s="299">
        <v>2019</v>
      </c>
      <c r="CN624" s="299">
        <v>3410</v>
      </c>
      <c r="CO624" s="300" t="s">
        <v>253</v>
      </c>
      <c r="CP624" s="299">
        <v>755</v>
      </c>
      <c r="CQ624" s="299">
        <v>87</v>
      </c>
      <c r="CR624" s="294" t="s">
        <v>339</v>
      </c>
      <c r="CS624" s="294" t="s">
        <v>341</v>
      </c>
      <c r="CT624" s="294" t="s">
        <v>325</v>
      </c>
      <c r="CU624" s="301">
        <v>381997000</v>
      </c>
    </row>
    <row r="625" spans="91:99">
      <c r="CM625" s="299">
        <v>2019</v>
      </c>
      <c r="CN625" s="299">
        <v>3410</v>
      </c>
      <c r="CO625" s="300" t="s">
        <v>253</v>
      </c>
      <c r="CP625" s="299">
        <v>755</v>
      </c>
      <c r="CQ625" s="299">
        <v>88</v>
      </c>
      <c r="CR625" s="294" t="s">
        <v>339</v>
      </c>
      <c r="CS625" s="294" t="s">
        <v>341</v>
      </c>
      <c r="CT625" s="294" t="s">
        <v>342</v>
      </c>
      <c r="CU625" s="301">
        <v>717552000</v>
      </c>
    </row>
    <row r="626" spans="91:99">
      <c r="CM626" s="299">
        <v>2019</v>
      </c>
      <c r="CN626" s="299">
        <v>3410</v>
      </c>
      <c r="CO626" s="300" t="s">
        <v>253</v>
      </c>
      <c r="CP626" s="299">
        <v>755</v>
      </c>
      <c r="CQ626" s="299">
        <v>89</v>
      </c>
      <c r="CR626" s="294" t="s">
        <v>377</v>
      </c>
      <c r="CS626" s="294" t="s">
        <v>378</v>
      </c>
      <c r="CT626" s="294" t="s">
        <v>379</v>
      </c>
      <c r="CU626" s="301">
        <v>2000</v>
      </c>
    </row>
    <row r="627" spans="91:99">
      <c r="CM627" s="299">
        <v>2019</v>
      </c>
      <c r="CN627" s="299">
        <v>3410</v>
      </c>
      <c r="CO627" s="300" t="s">
        <v>253</v>
      </c>
      <c r="CP627" s="299">
        <v>755</v>
      </c>
      <c r="CQ627" s="299">
        <v>98</v>
      </c>
      <c r="CR627" s="294" t="s">
        <v>343</v>
      </c>
      <c r="CS627" s="294" t="s">
        <v>380</v>
      </c>
      <c r="CT627" s="294" t="s">
        <v>381</v>
      </c>
      <c r="CU627" s="301">
        <v>4928962000</v>
      </c>
    </row>
    <row r="628" spans="91:99">
      <c r="CM628" s="299">
        <v>2019</v>
      </c>
      <c r="CN628" s="299">
        <v>3410</v>
      </c>
      <c r="CO628" s="300" t="s">
        <v>253</v>
      </c>
      <c r="CP628" s="299">
        <v>755</v>
      </c>
      <c r="CQ628" s="299">
        <v>99</v>
      </c>
      <c r="CR628" s="294" t="s">
        <v>343</v>
      </c>
      <c r="CS628" s="294" t="s">
        <v>344</v>
      </c>
      <c r="CT628" s="294" t="s">
        <v>322</v>
      </c>
      <c r="CU628" s="301">
        <v>28222412000</v>
      </c>
    </row>
    <row r="629" spans="91:99">
      <c r="CM629" s="299">
        <v>2019</v>
      </c>
      <c r="CN629" s="299">
        <v>3410</v>
      </c>
      <c r="CO629" s="300" t="s">
        <v>253</v>
      </c>
      <c r="CP629" s="299">
        <v>755</v>
      </c>
      <c r="CQ629" s="299">
        <v>100</v>
      </c>
      <c r="CR629" s="294" t="s">
        <v>343</v>
      </c>
      <c r="CS629" s="294" t="s">
        <v>344</v>
      </c>
      <c r="CT629" s="294" t="s">
        <v>323</v>
      </c>
      <c r="CU629" s="301">
        <v>2170804000</v>
      </c>
    </row>
    <row r="630" spans="91:99">
      <c r="CM630" s="299">
        <v>2019</v>
      </c>
      <c r="CN630" s="299">
        <v>3410</v>
      </c>
      <c r="CO630" s="300" t="s">
        <v>253</v>
      </c>
      <c r="CP630" s="299">
        <v>755</v>
      </c>
      <c r="CQ630" s="299">
        <v>101</v>
      </c>
      <c r="CR630" s="294" t="s">
        <v>343</v>
      </c>
      <c r="CS630" s="294" t="s">
        <v>344</v>
      </c>
      <c r="CT630" s="294" t="s">
        <v>325</v>
      </c>
      <c r="CU630" s="301">
        <v>31344711000</v>
      </c>
    </row>
    <row r="631" spans="91:99">
      <c r="CM631" s="299">
        <v>2019</v>
      </c>
      <c r="CN631" s="299">
        <v>3410</v>
      </c>
      <c r="CO631" s="300" t="s">
        <v>253</v>
      </c>
      <c r="CP631" s="299">
        <v>755</v>
      </c>
      <c r="CQ631" s="299">
        <v>102</v>
      </c>
      <c r="CR631" s="294" t="s">
        <v>343</v>
      </c>
      <c r="CS631" s="294" t="s">
        <v>345</v>
      </c>
      <c r="CT631" s="294" t="s">
        <v>346</v>
      </c>
      <c r="CU631" s="301">
        <v>0</v>
      </c>
    </row>
    <row r="632" spans="91:99">
      <c r="CM632" s="299">
        <v>2019</v>
      </c>
      <c r="CN632" s="299">
        <v>3410</v>
      </c>
      <c r="CO632" s="300" t="s">
        <v>253</v>
      </c>
      <c r="CP632" s="299">
        <v>755</v>
      </c>
      <c r="CQ632" s="299">
        <v>103</v>
      </c>
      <c r="CR632" s="294" t="s">
        <v>343</v>
      </c>
      <c r="CS632" s="294" t="s">
        <v>347</v>
      </c>
      <c r="CT632" s="294" t="s">
        <v>348</v>
      </c>
      <c r="CU632" s="301">
        <v>32507000</v>
      </c>
    </row>
    <row r="633" spans="91:99">
      <c r="CM633" s="299">
        <v>2019</v>
      </c>
      <c r="CN633" s="299">
        <v>3410</v>
      </c>
      <c r="CO633" s="300" t="s">
        <v>253</v>
      </c>
      <c r="CP633" s="299">
        <v>755</v>
      </c>
      <c r="CQ633" s="299">
        <v>104</v>
      </c>
      <c r="CR633" s="294" t="s">
        <v>343</v>
      </c>
      <c r="CS633" s="294" t="s">
        <v>349</v>
      </c>
      <c r="CT633" s="294" t="s">
        <v>350</v>
      </c>
      <c r="CU633" s="301">
        <v>66699396000</v>
      </c>
    </row>
    <row r="634" spans="91:99">
      <c r="CM634" s="299">
        <v>2019</v>
      </c>
      <c r="CN634" s="299">
        <v>3410</v>
      </c>
      <c r="CO634" s="300" t="s">
        <v>253</v>
      </c>
      <c r="CP634" s="299">
        <v>755</v>
      </c>
      <c r="CQ634" s="299">
        <v>105</v>
      </c>
      <c r="CR634" s="294" t="s">
        <v>351</v>
      </c>
      <c r="CS634" s="294" t="s">
        <v>352</v>
      </c>
      <c r="CT634" s="294" t="s">
        <v>353</v>
      </c>
      <c r="CU634" s="301">
        <v>76446000</v>
      </c>
    </row>
    <row r="635" spans="91:99">
      <c r="CM635" s="299">
        <v>2019</v>
      </c>
      <c r="CN635" s="299">
        <v>3410</v>
      </c>
      <c r="CO635" s="300" t="s">
        <v>253</v>
      </c>
      <c r="CP635" s="299">
        <v>755</v>
      </c>
      <c r="CQ635" s="299">
        <v>106</v>
      </c>
      <c r="CR635" s="294" t="s">
        <v>351</v>
      </c>
      <c r="CS635" s="294" t="s">
        <v>354</v>
      </c>
      <c r="CT635" s="294" t="s">
        <v>355</v>
      </c>
      <c r="CU635" s="301">
        <v>805000</v>
      </c>
    </row>
    <row r="636" spans="91:99">
      <c r="CM636" s="299">
        <v>2019</v>
      </c>
      <c r="CN636" s="299">
        <v>3410</v>
      </c>
      <c r="CO636" s="300" t="s">
        <v>253</v>
      </c>
      <c r="CP636" s="299">
        <v>755</v>
      </c>
      <c r="CQ636" s="299">
        <v>107</v>
      </c>
      <c r="CR636" s="294" t="s">
        <v>351</v>
      </c>
      <c r="CS636" s="294" t="s">
        <v>356</v>
      </c>
      <c r="CT636" s="294" t="s">
        <v>357</v>
      </c>
      <c r="CU636" s="301">
        <v>77251000</v>
      </c>
    </row>
    <row r="637" spans="91:99">
      <c r="CM637" s="299">
        <v>2019</v>
      </c>
      <c r="CN637" s="299">
        <v>3410</v>
      </c>
      <c r="CO637" s="300" t="s">
        <v>253</v>
      </c>
      <c r="CP637" s="299">
        <v>755</v>
      </c>
      <c r="CQ637" s="299">
        <v>108</v>
      </c>
      <c r="CR637" s="294" t="s">
        <v>358</v>
      </c>
      <c r="CS637" s="294" t="s">
        <v>359</v>
      </c>
      <c r="CT637" s="294" t="s">
        <v>360</v>
      </c>
      <c r="CU637" s="301">
        <v>32625112000</v>
      </c>
    </row>
    <row r="638" spans="91:99">
      <c r="CM638" s="299">
        <v>2019</v>
      </c>
      <c r="CN638" s="299">
        <v>3410</v>
      </c>
      <c r="CO638" s="300" t="s">
        <v>253</v>
      </c>
      <c r="CP638" s="299">
        <v>755</v>
      </c>
      <c r="CQ638" s="299">
        <v>109</v>
      </c>
      <c r="CR638" s="294" t="s">
        <v>358</v>
      </c>
      <c r="CS638" s="294" t="s">
        <v>359</v>
      </c>
      <c r="CT638" s="294" t="s">
        <v>361</v>
      </c>
      <c r="CU638" s="301">
        <v>0</v>
      </c>
    </row>
    <row r="639" spans="91:99">
      <c r="CM639" s="299">
        <v>2019</v>
      </c>
      <c r="CN639" s="299">
        <v>3410</v>
      </c>
      <c r="CO639" s="300" t="s">
        <v>253</v>
      </c>
      <c r="CP639" s="299">
        <v>755</v>
      </c>
      <c r="CQ639" s="299">
        <v>110</v>
      </c>
      <c r="CR639" s="294" t="s">
        <v>358</v>
      </c>
      <c r="CS639" s="294" t="s">
        <v>359</v>
      </c>
      <c r="CT639" s="294" t="s">
        <v>362</v>
      </c>
      <c r="CU639" s="301">
        <v>32625112000</v>
      </c>
    </row>
    <row r="640" spans="91:99">
      <c r="CM640" s="299">
        <v>2019</v>
      </c>
      <c r="CN640" s="299">
        <v>3410</v>
      </c>
      <c r="CO640" s="300" t="s">
        <v>253</v>
      </c>
      <c r="CP640" s="299">
        <v>755</v>
      </c>
      <c r="CQ640" s="299">
        <v>111</v>
      </c>
      <c r="CR640" s="294" t="s">
        <v>358</v>
      </c>
      <c r="CS640" s="294" t="s">
        <v>363</v>
      </c>
      <c r="CT640" s="294" t="s">
        <v>364</v>
      </c>
      <c r="CU640" s="301">
        <v>2960653000</v>
      </c>
    </row>
    <row r="641" spans="91:99">
      <c r="CM641" s="299">
        <v>2019</v>
      </c>
      <c r="CN641" s="299">
        <v>3410</v>
      </c>
      <c r="CO641" s="300" t="s">
        <v>253</v>
      </c>
      <c r="CP641" s="299">
        <v>755</v>
      </c>
      <c r="CQ641" s="299">
        <v>112</v>
      </c>
      <c r="CR641" s="294" t="s">
        <v>358</v>
      </c>
      <c r="CS641" s="294" t="s">
        <v>363</v>
      </c>
      <c r="CT641" s="294" t="s">
        <v>365</v>
      </c>
      <c r="CU641" s="301">
        <v>0</v>
      </c>
    </row>
    <row r="642" spans="91:99">
      <c r="CM642" s="299">
        <v>2019</v>
      </c>
      <c r="CN642" s="299">
        <v>3410</v>
      </c>
      <c r="CO642" s="300" t="s">
        <v>253</v>
      </c>
      <c r="CP642" s="299">
        <v>755</v>
      </c>
      <c r="CQ642" s="299">
        <v>113</v>
      </c>
      <c r="CR642" s="294" t="s">
        <v>358</v>
      </c>
      <c r="CS642" s="294" t="s">
        <v>363</v>
      </c>
      <c r="CT642" s="294" t="s">
        <v>366</v>
      </c>
      <c r="CU642" s="301">
        <v>2960653000</v>
      </c>
    </row>
    <row r="643" spans="91:99">
      <c r="CM643" s="299">
        <v>2019</v>
      </c>
      <c r="CN643" s="299">
        <v>3410</v>
      </c>
      <c r="CO643" s="300" t="s">
        <v>253</v>
      </c>
      <c r="CP643" s="299">
        <v>755</v>
      </c>
      <c r="CQ643" s="299">
        <v>114</v>
      </c>
      <c r="CR643" s="294" t="s">
        <v>358</v>
      </c>
      <c r="CS643" s="294" t="s">
        <v>367</v>
      </c>
      <c r="CT643" s="294" t="s">
        <v>368</v>
      </c>
      <c r="CU643" s="301">
        <v>35585765000</v>
      </c>
    </row>
    <row r="644" spans="91:99">
      <c r="CM644" s="299">
        <v>2019</v>
      </c>
      <c r="CN644" s="299">
        <v>3410</v>
      </c>
      <c r="CO644" s="300" t="s">
        <v>253</v>
      </c>
      <c r="CP644" s="299">
        <v>755</v>
      </c>
      <c r="CQ644" s="299">
        <v>115</v>
      </c>
      <c r="CR644" s="294" t="s">
        <v>369</v>
      </c>
      <c r="CS644" s="294" t="s">
        <v>370</v>
      </c>
      <c r="CT644" s="294" t="s">
        <v>371</v>
      </c>
      <c r="CU644" s="301">
        <v>599290</v>
      </c>
    </row>
    <row r="645" spans="91:99">
      <c r="CM645" s="299">
        <v>2019</v>
      </c>
      <c r="CN645" s="299">
        <v>3410</v>
      </c>
      <c r="CO645" s="300" t="s">
        <v>253</v>
      </c>
      <c r="CP645" s="299">
        <v>755</v>
      </c>
      <c r="CQ645" s="299">
        <v>116</v>
      </c>
      <c r="CR645" s="294" t="s">
        <v>369</v>
      </c>
      <c r="CS645" s="294" t="s">
        <v>372</v>
      </c>
      <c r="CT645" s="294" t="s">
        <v>373</v>
      </c>
      <c r="CU645" s="301">
        <v>72435</v>
      </c>
    </row>
    <row r="646" spans="91:99">
      <c r="CM646" s="299">
        <v>2019</v>
      </c>
      <c r="CN646" s="299">
        <v>3410</v>
      </c>
      <c r="CO646" s="300" t="s">
        <v>253</v>
      </c>
      <c r="CP646" s="299">
        <v>755</v>
      </c>
      <c r="CQ646" s="299">
        <v>117</v>
      </c>
      <c r="CR646" s="294" t="s">
        <v>374</v>
      </c>
      <c r="CS646" s="294" t="s">
        <v>375</v>
      </c>
      <c r="CT646" s="294" t="s">
        <v>376</v>
      </c>
      <c r="CU646" s="301">
        <v>327658</v>
      </c>
    </row>
    <row r="647" spans="91:99">
      <c r="CM647" s="299">
        <v>2019</v>
      </c>
      <c r="CN647" s="299">
        <v>3410</v>
      </c>
      <c r="CO647" s="300" t="s">
        <v>253</v>
      </c>
      <c r="CP647" s="299">
        <v>755</v>
      </c>
      <c r="CQ647" s="299">
        <v>118</v>
      </c>
      <c r="CR647" s="294" t="s">
        <v>417</v>
      </c>
      <c r="CS647" s="294" t="s">
        <v>418</v>
      </c>
      <c r="CT647" s="294" t="s">
        <v>419</v>
      </c>
      <c r="CU647" s="301">
        <v>91647</v>
      </c>
    </row>
    <row r="648" spans="91:99">
      <c r="CM648" s="299">
        <v>2019</v>
      </c>
      <c r="CN648" s="299">
        <v>3410</v>
      </c>
      <c r="CO648" s="300" t="s">
        <v>253</v>
      </c>
      <c r="CP648" s="299">
        <v>755</v>
      </c>
      <c r="CQ648" s="299">
        <v>119</v>
      </c>
      <c r="CR648" s="294" t="s">
        <v>417</v>
      </c>
      <c r="CS648" s="294" t="s">
        <v>418</v>
      </c>
      <c r="CT648" s="294" t="s">
        <v>420</v>
      </c>
      <c r="CU648" s="301">
        <v>0</v>
      </c>
    </row>
    <row r="649" spans="91:99">
      <c r="CM649" s="299">
        <v>2019</v>
      </c>
      <c r="CN649" s="299">
        <v>3410</v>
      </c>
      <c r="CO649" s="300" t="s">
        <v>253</v>
      </c>
      <c r="CP649" s="299">
        <v>755</v>
      </c>
      <c r="CQ649" s="299">
        <v>120</v>
      </c>
      <c r="CR649" s="294" t="s">
        <v>421</v>
      </c>
      <c r="CS649" s="294" t="s">
        <v>422</v>
      </c>
      <c r="CT649" s="294" t="s">
        <v>322</v>
      </c>
      <c r="CU649" s="301">
        <v>305766</v>
      </c>
    </row>
    <row r="650" spans="91:99">
      <c r="CM650" s="299">
        <v>2019</v>
      </c>
      <c r="CN650" s="299">
        <v>3410</v>
      </c>
      <c r="CO650" s="300" t="s">
        <v>253</v>
      </c>
      <c r="CP650" s="299">
        <v>755</v>
      </c>
      <c r="CQ650" s="299">
        <v>121</v>
      </c>
      <c r="CR650" s="294" t="s">
        <v>421</v>
      </c>
      <c r="CS650" s="294" t="s">
        <v>422</v>
      </c>
      <c r="CT650" s="294" t="s">
        <v>323</v>
      </c>
      <c r="CU650" s="301">
        <v>487643</v>
      </c>
    </row>
    <row r="651" spans="91:99">
      <c r="CM651" s="299">
        <v>2019</v>
      </c>
      <c r="CN651" s="299">
        <v>3410</v>
      </c>
      <c r="CO651" s="300" t="s">
        <v>253</v>
      </c>
      <c r="CP651" s="299">
        <v>755</v>
      </c>
      <c r="CQ651" s="299">
        <v>122</v>
      </c>
      <c r="CR651" s="294" t="s">
        <v>421</v>
      </c>
      <c r="CS651" s="294" t="s">
        <v>422</v>
      </c>
      <c r="CT651" s="294" t="s">
        <v>325</v>
      </c>
      <c r="CU651" s="301">
        <v>671652</v>
      </c>
    </row>
    <row r="652" spans="91:99">
      <c r="CM652" s="299">
        <v>2019</v>
      </c>
      <c r="CN652" s="299">
        <v>3410</v>
      </c>
      <c r="CO652" s="300" t="s">
        <v>253</v>
      </c>
      <c r="CP652" s="299">
        <v>755</v>
      </c>
      <c r="CQ652" s="299">
        <v>123</v>
      </c>
      <c r="CR652" s="294" t="s">
        <v>423</v>
      </c>
      <c r="CS652" s="294" t="s">
        <v>424</v>
      </c>
      <c r="CT652" s="294" t="s">
        <v>425</v>
      </c>
      <c r="CU652" s="301">
        <v>507812</v>
      </c>
    </row>
    <row r="653" spans="91:99">
      <c r="CM653" s="299">
        <v>2019</v>
      </c>
      <c r="CN653" s="299">
        <v>3410</v>
      </c>
      <c r="CO653" s="300" t="s">
        <v>253</v>
      </c>
      <c r="CP653" s="299">
        <v>755</v>
      </c>
      <c r="CQ653" s="299">
        <v>124</v>
      </c>
      <c r="CR653" s="294" t="s">
        <v>426</v>
      </c>
      <c r="CS653" s="294" t="s">
        <v>427</v>
      </c>
      <c r="CT653" s="294" t="s">
        <v>428</v>
      </c>
      <c r="CU653" s="301">
        <v>78779</v>
      </c>
    </row>
    <row r="654" spans="91:99">
      <c r="CM654" s="299">
        <v>2019</v>
      </c>
      <c r="CN654" s="299">
        <v>3410</v>
      </c>
      <c r="CO654" s="300" t="s">
        <v>253</v>
      </c>
      <c r="CP654" s="299">
        <v>755</v>
      </c>
      <c r="CQ654" s="299">
        <v>125</v>
      </c>
      <c r="CR654" s="294" t="s">
        <v>429</v>
      </c>
      <c r="CS654" s="294" t="s">
        <v>430</v>
      </c>
      <c r="CT654" s="294" t="s">
        <v>431</v>
      </c>
      <c r="CU654" s="301">
        <v>0</v>
      </c>
    </row>
    <row r="655" spans="91:99">
      <c r="CM655" s="299">
        <v>2019</v>
      </c>
      <c r="CN655" s="299">
        <v>3410</v>
      </c>
      <c r="CO655" s="300" t="s">
        <v>253</v>
      </c>
      <c r="CP655" s="299">
        <v>755</v>
      </c>
      <c r="CQ655" s="299">
        <v>126</v>
      </c>
      <c r="CR655" s="294" t="s">
        <v>432</v>
      </c>
      <c r="CS655" s="294" t="s">
        <v>433</v>
      </c>
      <c r="CT655" s="294" t="s">
        <v>434</v>
      </c>
      <c r="CU655" s="301">
        <v>0</v>
      </c>
    </row>
    <row r="656" spans="91:99">
      <c r="CM656" s="299">
        <v>2019</v>
      </c>
      <c r="CN656" s="299">
        <v>3410</v>
      </c>
      <c r="CO656" s="300" t="s">
        <v>253</v>
      </c>
      <c r="CP656" s="299">
        <v>755</v>
      </c>
      <c r="CQ656" s="299">
        <v>127</v>
      </c>
      <c r="CR656" s="294" t="s">
        <v>432</v>
      </c>
      <c r="CS656" s="294" t="s">
        <v>433</v>
      </c>
      <c r="CT656" s="294" t="s">
        <v>435</v>
      </c>
      <c r="CU656" s="301">
        <v>0</v>
      </c>
    </row>
    <row r="657" spans="91:99">
      <c r="CM657" s="299">
        <v>2019</v>
      </c>
      <c r="CN657" s="299">
        <v>3410</v>
      </c>
      <c r="CO657" s="300" t="s">
        <v>253</v>
      </c>
      <c r="CP657" s="299">
        <v>755</v>
      </c>
      <c r="CQ657" s="299">
        <v>128</v>
      </c>
      <c r="CR657" s="294" t="s">
        <v>432</v>
      </c>
      <c r="CS657" s="294" t="s">
        <v>433</v>
      </c>
      <c r="CT657" s="294" t="s">
        <v>158</v>
      </c>
      <c r="CU657" s="301">
        <v>0</v>
      </c>
    </row>
    <row r="658" spans="91:99">
      <c r="CM658" s="299">
        <v>2019</v>
      </c>
      <c r="CN658" s="299">
        <v>3410</v>
      </c>
      <c r="CO658" s="300" t="s">
        <v>253</v>
      </c>
      <c r="CP658" s="299">
        <v>755</v>
      </c>
      <c r="CQ658" s="299">
        <v>129</v>
      </c>
      <c r="CR658" s="294" t="s">
        <v>432</v>
      </c>
      <c r="CS658" s="294" t="s">
        <v>433</v>
      </c>
      <c r="CT658" s="294" t="s">
        <v>436</v>
      </c>
      <c r="CU658" s="301">
        <v>0</v>
      </c>
    </row>
    <row r="659" spans="91:99">
      <c r="CM659" s="299">
        <v>2019</v>
      </c>
      <c r="CN659" s="299">
        <v>3410</v>
      </c>
      <c r="CO659" s="300" t="s">
        <v>253</v>
      </c>
      <c r="CP659" s="299">
        <v>755</v>
      </c>
      <c r="CQ659" s="299">
        <v>130</v>
      </c>
      <c r="CR659" s="294" t="s">
        <v>437</v>
      </c>
      <c r="CS659" s="294" t="s">
        <v>438</v>
      </c>
      <c r="CT659" s="294" t="s">
        <v>439</v>
      </c>
      <c r="CU659" s="301">
        <v>3550</v>
      </c>
    </row>
    <row r="660" spans="91:99">
      <c r="CM660" s="299">
        <v>2019</v>
      </c>
      <c r="CN660" s="299">
        <v>3410</v>
      </c>
      <c r="CO660" s="300" t="s">
        <v>253</v>
      </c>
      <c r="CP660" s="299">
        <v>755</v>
      </c>
      <c r="CQ660" s="299">
        <v>131</v>
      </c>
      <c r="CR660" s="294" t="s">
        <v>437</v>
      </c>
      <c r="CS660" s="294" t="s">
        <v>438</v>
      </c>
      <c r="CT660" s="294" t="s">
        <v>440</v>
      </c>
      <c r="CU660" s="301">
        <v>0</v>
      </c>
    </row>
    <row r="661" spans="91:99">
      <c r="CM661" s="299">
        <v>2019</v>
      </c>
      <c r="CN661" s="299">
        <v>3410</v>
      </c>
      <c r="CO661" s="300" t="s">
        <v>253</v>
      </c>
      <c r="CP661" s="299">
        <v>755</v>
      </c>
      <c r="CQ661" s="299">
        <v>132</v>
      </c>
      <c r="CR661" s="294" t="s">
        <v>437</v>
      </c>
      <c r="CS661" s="294" t="s">
        <v>441</v>
      </c>
      <c r="CT661" s="294" t="s">
        <v>442</v>
      </c>
      <c r="CU661" s="301">
        <v>0</v>
      </c>
    </row>
    <row r="662" spans="91:99">
      <c r="CM662" s="299">
        <v>2019</v>
      </c>
      <c r="CN662" s="299">
        <v>3410</v>
      </c>
      <c r="CO662" s="300" t="s">
        <v>253</v>
      </c>
      <c r="CP662" s="299">
        <v>755</v>
      </c>
      <c r="CQ662" s="299">
        <v>133</v>
      </c>
      <c r="CR662" s="294" t="s">
        <v>437</v>
      </c>
      <c r="CS662" s="294" t="s">
        <v>443</v>
      </c>
      <c r="CT662" s="294" t="s">
        <v>444</v>
      </c>
      <c r="CU662" s="301">
        <v>3550</v>
      </c>
    </row>
    <row r="663" spans="91:99">
      <c r="CM663" s="299">
        <v>2019</v>
      </c>
      <c r="CN663" s="299">
        <v>3410</v>
      </c>
      <c r="CO663" s="300" t="s">
        <v>253</v>
      </c>
      <c r="CP663" s="299">
        <v>755</v>
      </c>
      <c r="CQ663" s="299">
        <v>134</v>
      </c>
      <c r="CR663" s="294" t="s">
        <v>445</v>
      </c>
      <c r="CS663" s="294" t="s">
        <v>446</v>
      </c>
      <c r="CT663" s="294" t="s">
        <v>447</v>
      </c>
      <c r="CU663" s="301">
        <v>395</v>
      </c>
    </row>
    <row r="664" spans="91:99">
      <c r="CM664" s="299">
        <v>2019</v>
      </c>
      <c r="CN664" s="299">
        <v>3680</v>
      </c>
      <c r="CO664" s="300" t="s">
        <v>252</v>
      </c>
      <c r="CP664" s="299">
        <v>755</v>
      </c>
      <c r="CQ664" s="299">
        <v>1</v>
      </c>
      <c r="CR664" s="294" t="s">
        <v>382</v>
      </c>
      <c r="CS664" s="294" t="s">
        <v>383</v>
      </c>
      <c r="CT664" s="294" t="s">
        <v>384</v>
      </c>
      <c r="CU664" s="301">
        <v>4798</v>
      </c>
    </row>
    <row r="665" spans="91:99">
      <c r="CM665" s="299">
        <v>2019</v>
      </c>
      <c r="CN665" s="299">
        <v>3680</v>
      </c>
      <c r="CO665" s="300" t="s">
        <v>252</v>
      </c>
      <c r="CP665" s="299">
        <v>755</v>
      </c>
      <c r="CQ665" s="299">
        <v>2</v>
      </c>
      <c r="CR665" s="294" t="s">
        <v>320</v>
      </c>
      <c r="CS665" s="294" t="s">
        <v>321</v>
      </c>
      <c r="CT665" s="294" t="s">
        <v>322</v>
      </c>
      <c r="CU665" s="301">
        <v>2699968</v>
      </c>
    </row>
    <row r="666" spans="91:99">
      <c r="CM666" s="299">
        <v>2019</v>
      </c>
      <c r="CN666" s="299">
        <v>3680</v>
      </c>
      <c r="CO666" s="300" t="s">
        <v>252</v>
      </c>
      <c r="CP666" s="299">
        <v>755</v>
      </c>
      <c r="CQ666" s="299">
        <v>3</v>
      </c>
      <c r="CR666" s="294" t="s">
        <v>320</v>
      </c>
      <c r="CS666" s="294" t="s">
        <v>321</v>
      </c>
      <c r="CT666" s="294" t="s">
        <v>323</v>
      </c>
      <c r="CU666" s="301">
        <v>1661087</v>
      </c>
    </row>
    <row r="667" spans="91:99">
      <c r="CM667" s="299">
        <v>2019</v>
      </c>
      <c r="CN667" s="299">
        <v>3680</v>
      </c>
      <c r="CO667" s="300" t="s">
        <v>252</v>
      </c>
      <c r="CP667" s="299">
        <v>755</v>
      </c>
      <c r="CQ667" s="299">
        <v>4</v>
      </c>
      <c r="CR667" s="294" t="s">
        <v>320</v>
      </c>
      <c r="CS667" s="294" t="s">
        <v>324</v>
      </c>
      <c r="CT667" s="294" t="s">
        <v>325</v>
      </c>
      <c r="CU667" s="301">
        <v>4845393</v>
      </c>
    </row>
    <row r="668" spans="91:99">
      <c r="CM668" s="299">
        <v>2019</v>
      </c>
      <c r="CN668" s="299">
        <v>3680</v>
      </c>
      <c r="CO668" s="300" t="s">
        <v>252</v>
      </c>
      <c r="CP668" s="299">
        <v>755</v>
      </c>
      <c r="CQ668" s="299">
        <v>5</v>
      </c>
      <c r="CR668" s="294" t="s">
        <v>320</v>
      </c>
      <c r="CS668" s="294" t="s">
        <v>324</v>
      </c>
      <c r="CT668" s="294" t="s">
        <v>326</v>
      </c>
      <c r="CU668" s="301">
        <v>9206448</v>
      </c>
    </row>
    <row r="669" spans="91:99">
      <c r="CM669" s="299">
        <v>2019</v>
      </c>
      <c r="CN669" s="299">
        <v>3680</v>
      </c>
      <c r="CO669" s="300" t="s">
        <v>252</v>
      </c>
      <c r="CP669" s="299">
        <v>755</v>
      </c>
      <c r="CQ669" s="299">
        <v>6</v>
      </c>
      <c r="CR669" s="294" t="s">
        <v>320</v>
      </c>
      <c r="CS669" s="294" t="s">
        <v>327</v>
      </c>
      <c r="CT669" s="294" t="s">
        <v>328</v>
      </c>
      <c r="CU669" s="301">
        <v>0</v>
      </c>
    </row>
    <row r="670" spans="91:99">
      <c r="CM670" s="299">
        <v>2019</v>
      </c>
      <c r="CN670" s="299">
        <v>3680</v>
      </c>
      <c r="CO670" s="300" t="s">
        <v>252</v>
      </c>
      <c r="CP670" s="299">
        <v>755</v>
      </c>
      <c r="CQ670" s="299">
        <v>7</v>
      </c>
      <c r="CR670" s="294" t="s">
        <v>320</v>
      </c>
      <c r="CS670" s="294" t="s">
        <v>324</v>
      </c>
      <c r="CT670" s="294" t="s">
        <v>329</v>
      </c>
      <c r="CU670" s="301">
        <v>9206448</v>
      </c>
    </row>
    <row r="671" spans="91:99">
      <c r="CM671" s="299">
        <v>2019</v>
      </c>
      <c r="CN671" s="299">
        <v>3680</v>
      </c>
      <c r="CO671" s="300" t="s">
        <v>252</v>
      </c>
      <c r="CP671" s="299">
        <v>755</v>
      </c>
      <c r="CQ671" s="299">
        <v>8</v>
      </c>
      <c r="CR671" s="294" t="s">
        <v>330</v>
      </c>
      <c r="CS671" s="294" t="s">
        <v>331</v>
      </c>
      <c r="CT671" s="294" t="s">
        <v>322</v>
      </c>
      <c r="CU671" s="301">
        <v>6099485</v>
      </c>
    </row>
    <row r="672" spans="91:99">
      <c r="CM672" s="299">
        <v>2019</v>
      </c>
      <c r="CN672" s="299">
        <v>3680</v>
      </c>
      <c r="CO672" s="300" t="s">
        <v>252</v>
      </c>
      <c r="CP672" s="299">
        <v>755</v>
      </c>
      <c r="CQ672" s="299">
        <v>9</v>
      </c>
      <c r="CR672" s="294" t="s">
        <v>330</v>
      </c>
      <c r="CS672" s="294" t="s">
        <v>331</v>
      </c>
      <c r="CT672" s="294" t="s">
        <v>323</v>
      </c>
      <c r="CU672" s="301">
        <v>3201307</v>
      </c>
    </row>
    <row r="673" spans="91:99">
      <c r="CM673" s="299">
        <v>2019</v>
      </c>
      <c r="CN673" s="299">
        <v>3680</v>
      </c>
      <c r="CO673" s="300" t="s">
        <v>252</v>
      </c>
      <c r="CP673" s="299">
        <v>755</v>
      </c>
      <c r="CQ673" s="299">
        <v>10</v>
      </c>
      <c r="CR673" s="294" t="s">
        <v>330</v>
      </c>
      <c r="CS673" s="294" t="s">
        <v>332</v>
      </c>
      <c r="CT673" s="294" t="s">
        <v>325</v>
      </c>
      <c r="CU673" s="301">
        <v>11490242</v>
      </c>
    </row>
    <row r="674" spans="91:99">
      <c r="CM674" s="299">
        <v>2019</v>
      </c>
      <c r="CN674" s="299">
        <v>3680</v>
      </c>
      <c r="CO674" s="300" t="s">
        <v>252</v>
      </c>
      <c r="CP674" s="299">
        <v>755</v>
      </c>
      <c r="CQ674" s="299">
        <v>11</v>
      </c>
      <c r="CR674" s="294" t="s">
        <v>330</v>
      </c>
      <c r="CS674" s="294" t="s">
        <v>332</v>
      </c>
      <c r="CT674" s="294" t="s">
        <v>333</v>
      </c>
      <c r="CU674" s="301">
        <v>20791034</v>
      </c>
    </row>
    <row r="675" spans="91:99">
      <c r="CM675" s="299">
        <v>2019</v>
      </c>
      <c r="CN675" s="299">
        <v>3680</v>
      </c>
      <c r="CO675" s="300" t="s">
        <v>252</v>
      </c>
      <c r="CP675" s="299">
        <v>755</v>
      </c>
      <c r="CQ675" s="299">
        <v>12</v>
      </c>
      <c r="CR675" s="294" t="s">
        <v>330</v>
      </c>
      <c r="CS675" s="294" t="s">
        <v>334</v>
      </c>
      <c r="CT675" s="294" t="s">
        <v>335</v>
      </c>
      <c r="CU675" s="301">
        <v>1923181</v>
      </c>
    </row>
    <row r="676" spans="91:99">
      <c r="CM676" s="299">
        <v>2019</v>
      </c>
      <c r="CN676" s="299">
        <v>3680</v>
      </c>
      <c r="CO676" s="300" t="s">
        <v>252</v>
      </c>
      <c r="CP676" s="299">
        <v>755</v>
      </c>
      <c r="CQ676" s="299">
        <v>13</v>
      </c>
      <c r="CR676" s="294" t="s">
        <v>330</v>
      </c>
      <c r="CS676" s="294" t="s">
        <v>336</v>
      </c>
      <c r="CT676" s="294" t="s">
        <v>308</v>
      </c>
      <c r="CU676" s="301">
        <v>647626</v>
      </c>
    </row>
    <row r="677" spans="91:99">
      <c r="CM677" s="299">
        <v>2019</v>
      </c>
      <c r="CN677" s="299">
        <v>3680</v>
      </c>
      <c r="CO677" s="300" t="s">
        <v>252</v>
      </c>
      <c r="CP677" s="299">
        <v>755</v>
      </c>
      <c r="CQ677" s="299">
        <v>14</v>
      </c>
      <c r="CR677" s="294" t="s">
        <v>330</v>
      </c>
      <c r="CS677" s="294" t="s">
        <v>337</v>
      </c>
      <c r="CT677" s="294" t="s">
        <v>338</v>
      </c>
      <c r="CU677" s="301">
        <v>23361841</v>
      </c>
    </row>
    <row r="678" spans="91:99">
      <c r="CM678" s="299">
        <v>2019</v>
      </c>
      <c r="CN678" s="299">
        <v>3680</v>
      </c>
      <c r="CO678" s="300" t="s">
        <v>252</v>
      </c>
      <c r="CP678" s="299">
        <v>755</v>
      </c>
      <c r="CQ678" s="299">
        <v>15</v>
      </c>
      <c r="CR678" s="294" t="s">
        <v>385</v>
      </c>
      <c r="CS678" s="294" t="s">
        <v>386</v>
      </c>
      <c r="CT678" s="294" t="s">
        <v>387</v>
      </c>
      <c r="CU678" s="301">
        <v>0</v>
      </c>
    </row>
    <row r="679" spans="91:99">
      <c r="CM679" s="299">
        <v>2019</v>
      </c>
      <c r="CN679" s="299">
        <v>3680</v>
      </c>
      <c r="CO679" s="300" t="s">
        <v>252</v>
      </c>
      <c r="CP679" s="299">
        <v>755</v>
      </c>
      <c r="CQ679" s="299">
        <v>16</v>
      </c>
      <c r="CR679" s="294" t="s">
        <v>385</v>
      </c>
      <c r="CS679" s="294" t="s">
        <v>386</v>
      </c>
      <c r="CT679" s="294" t="s">
        <v>388</v>
      </c>
      <c r="CU679" s="301">
        <v>546000</v>
      </c>
    </row>
    <row r="680" spans="91:99">
      <c r="CM680" s="299">
        <v>2019</v>
      </c>
      <c r="CN680" s="299">
        <v>3680</v>
      </c>
      <c r="CO680" s="300" t="s">
        <v>252</v>
      </c>
      <c r="CP680" s="299">
        <v>755</v>
      </c>
      <c r="CQ680" s="299">
        <v>17</v>
      </c>
      <c r="CR680" s="294" t="s">
        <v>385</v>
      </c>
      <c r="CS680" s="294" t="s">
        <v>386</v>
      </c>
      <c r="CT680" s="294" t="s">
        <v>389</v>
      </c>
      <c r="CU680" s="301">
        <v>9087000</v>
      </c>
    </row>
    <row r="681" spans="91:99">
      <c r="CM681" s="299">
        <v>2019</v>
      </c>
      <c r="CN681" s="299">
        <v>3680</v>
      </c>
      <c r="CO681" s="300" t="s">
        <v>252</v>
      </c>
      <c r="CP681" s="299">
        <v>755</v>
      </c>
      <c r="CQ681" s="299">
        <v>18</v>
      </c>
      <c r="CR681" s="294" t="s">
        <v>385</v>
      </c>
      <c r="CS681" s="294" t="s">
        <v>386</v>
      </c>
      <c r="CT681" s="294" t="s">
        <v>390</v>
      </c>
      <c r="CU681" s="301">
        <v>5036000</v>
      </c>
    </row>
    <row r="682" spans="91:99">
      <c r="CM682" s="299">
        <v>2019</v>
      </c>
      <c r="CN682" s="299">
        <v>3680</v>
      </c>
      <c r="CO682" s="300" t="s">
        <v>252</v>
      </c>
      <c r="CP682" s="299">
        <v>755</v>
      </c>
      <c r="CQ682" s="299">
        <v>19</v>
      </c>
      <c r="CR682" s="294" t="s">
        <v>385</v>
      </c>
      <c r="CS682" s="294" t="s">
        <v>386</v>
      </c>
      <c r="CT682" s="294" t="s">
        <v>391</v>
      </c>
      <c r="CU682" s="301">
        <v>3734000</v>
      </c>
    </row>
    <row r="683" spans="91:99">
      <c r="CM683" s="299">
        <v>2019</v>
      </c>
      <c r="CN683" s="299">
        <v>3680</v>
      </c>
      <c r="CO683" s="300" t="s">
        <v>252</v>
      </c>
      <c r="CP683" s="299">
        <v>755</v>
      </c>
      <c r="CQ683" s="299">
        <v>20</v>
      </c>
      <c r="CR683" s="294" t="s">
        <v>385</v>
      </c>
      <c r="CS683" s="294" t="s">
        <v>386</v>
      </c>
      <c r="CT683" s="294" t="s">
        <v>392</v>
      </c>
      <c r="CU683" s="301">
        <v>52932000</v>
      </c>
    </row>
    <row r="684" spans="91:99">
      <c r="CM684" s="299">
        <v>2019</v>
      </c>
      <c r="CN684" s="299">
        <v>3680</v>
      </c>
      <c r="CO684" s="300" t="s">
        <v>252</v>
      </c>
      <c r="CP684" s="299">
        <v>755</v>
      </c>
      <c r="CQ684" s="299">
        <v>21</v>
      </c>
      <c r="CR684" s="294" t="s">
        <v>385</v>
      </c>
      <c r="CS684" s="294" t="s">
        <v>386</v>
      </c>
      <c r="CT684" s="294" t="s">
        <v>393</v>
      </c>
      <c r="CU684" s="301">
        <v>417000</v>
      </c>
    </row>
    <row r="685" spans="91:99">
      <c r="CM685" s="299">
        <v>2019</v>
      </c>
      <c r="CN685" s="299">
        <v>3680</v>
      </c>
      <c r="CO685" s="300" t="s">
        <v>252</v>
      </c>
      <c r="CP685" s="299">
        <v>755</v>
      </c>
      <c r="CQ685" s="299">
        <v>22</v>
      </c>
      <c r="CR685" s="294" t="s">
        <v>385</v>
      </c>
      <c r="CS685" s="294" t="s">
        <v>386</v>
      </c>
      <c r="CT685" s="294" t="s">
        <v>394</v>
      </c>
      <c r="CU685" s="301">
        <v>151000</v>
      </c>
    </row>
    <row r="686" spans="91:99">
      <c r="CM686" s="299">
        <v>2019</v>
      </c>
      <c r="CN686" s="299">
        <v>3680</v>
      </c>
      <c r="CO686" s="300" t="s">
        <v>252</v>
      </c>
      <c r="CP686" s="299">
        <v>755</v>
      </c>
      <c r="CQ686" s="299">
        <v>23</v>
      </c>
      <c r="CR686" s="294" t="s">
        <v>385</v>
      </c>
      <c r="CS686" s="294" t="s">
        <v>386</v>
      </c>
      <c r="CT686" s="294" t="s">
        <v>395</v>
      </c>
      <c r="CU686" s="301">
        <v>16000</v>
      </c>
    </row>
    <row r="687" spans="91:99">
      <c r="CM687" s="299">
        <v>2019</v>
      </c>
      <c r="CN687" s="299">
        <v>3680</v>
      </c>
      <c r="CO687" s="300" t="s">
        <v>252</v>
      </c>
      <c r="CP687" s="299">
        <v>755</v>
      </c>
      <c r="CQ687" s="299">
        <v>24</v>
      </c>
      <c r="CR687" s="294" t="s">
        <v>385</v>
      </c>
      <c r="CS687" s="294" t="s">
        <v>386</v>
      </c>
      <c r="CT687" s="294" t="s">
        <v>396</v>
      </c>
      <c r="CU687" s="301">
        <v>1000</v>
      </c>
    </row>
    <row r="688" spans="91:99">
      <c r="CM688" s="299">
        <v>2019</v>
      </c>
      <c r="CN688" s="299">
        <v>3680</v>
      </c>
      <c r="CO688" s="300" t="s">
        <v>252</v>
      </c>
      <c r="CP688" s="299">
        <v>755</v>
      </c>
      <c r="CQ688" s="299">
        <v>25</v>
      </c>
      <c r="CR688" s="294" t="s">
        <v>385</v>
      </c>
      <c r="CS688" s="294" t="s">
        <v>386</v>
      </c>
      <c r="CT688" s="294" t="s">
        <v>397</v>
      </c>
      <c r="CU688" s="301">
        <v>8792000</v>
      </c>
    </row>
    <row r="689" spans="91:99">
      <c r="CM689" s="299">
        <v>2019</v>
      </c>
      <c r="CN689" s="299">
        <v>3680</v>
      </c>
      <c r="CO689" s="300" t="s">
        <v>252</v>
      </c>
      <c r="CP689" s="299">
        <v>755</v>
      </c>
      <c r="CQ689" s="299">
        <v>26</v>
      </c>
      <c r="CR689" s="294" t="s">
        <v>385</v>
      </c>
      <c r="CS689" s="294" t="s">
        <v>386</v>
      </c>
      <c r="CT689" s="294" t="s">
        <v>398</v>
      </c>
      <c r="CU689" s="301">
        <v>3564000</v>
      </c>
    </row>
    <row r="690" spans="91:99">
      <c r="CM690" s="299">
        <v>2019</v>
      </c>
      <c r="CN690" s="299">
        <v>3680</v>
      </c>
      <c r="CO690" s="300" t="s">
        <v>252</v>
      </c>
      <c r="CP690" s="299">
        <v>755</v>
      </c>
      <c r="CQ690" s="299">
        <v>27</v>
      </c>
      <c r="CR690" s="294" t="s">
        <v>385</v>
      </c>
      <c r="CS690" s="294" t="s">
        <v>386</v>
      </c>
      <c r="CT690" s="294" t="s">
        <v>399</v>
      </c>
      <c r="CU690" s="301">
        <v>91000</v>
      </c>
    </row>
    <row r="691" spans="91:99">
      <c r="CM691" s="299">
        <v>2019</v>
      </c>
      <c r="CN691" s="299">
        <v>3680</v>
      </c>
      <c r="CO691" s="300" t="s">
        <v>252</v>
      </c>
      <c r="CP691" s="299">
        <v>755</v>
      </c>
      <c r="CQ691" s="299">
        <v>28</v>
      </c>
      <c r="CR691" s="294" t="s">
        <v>385</v>
      </c>
      <c r="CS691" s="294" t="s">
        <v>386</v>
      </c>
      <c r="CT691" s="294" t="s">
        <v>400</v>
      </c>
      <c r="CU691" s="301">
        <v>10010000</v>
      </c>
    </row>
    <row r="692" spans="91:99">
      <c r="CM692" s="299">
        <v>2019</v>
      </c>
      <c r="CN692" s="299">
        <v>3680</v>
      </c>
      <c r="CO692" s="300" t="s">
        <v>252</v>
      </c>
      <c r="CP692" s="299">
        <v>755</v>
      </c>
      <c r="CQ692" s="299">
        <v>29</v>
      </c>
      <c r="CR692" s="294" t="s">
        <v>385</v>
      </c>
      <c r="CS692" s="294" t="s">
        <v>401</v>
      </c>
      <c r="CT692" s="294" t="s">
        <v>402</v>
      </c>
      <c r="CU692" s="301">
        <v>65000</v>
      </c>
    </row>
    <row r="693" spans="91:99">
      <c r="CM693" s="299">
        <v>2019</v>
      </c>
      <c r="CN693" s="299">
        <v>3680</v>
      </c>
      <c r="CO693" s="300" t="s">
        <v>252</v>
      </c>
      <c r="CP693" s="299">
        <v>755</v>
      </c>
      <c r="CQ693" s="299">
        <v>30</v>
      </c>
      <c r="CR693" s="294" t="s">
        <v>385</v>
      </c>
      <c r="CS693" s="294" t="s">
        <v>401</v>
      </c>
      <c r="CT693" s="294" t="s">
        <v>403</v>
      </c>
      <c r="CU693" s="301">
        <v>94442000</v>
      </c>
    </row>
    <row r="694" spans="91:99">
      <c r="CM694" s="299">
        <v>2019</v>
      </c>
      <c r="CN694" s="299">
        <v>3680</v>
      </c>
      <c r="CO694" s="300" t="s">
        <v>252</v>
      </c>
      <c r="CP694" s="299">
        <v>755</v>
      </c>
      <c r="CQ694" s="299">
        <v>31</v>
      </c>
      <c r="CR694" s="294" t="s">
        <v>385</v>
      </c>
      <c r="CS694" s="294" t="s">
        <v>404</v>
      </c>
      <c r="CT694" s="294" t="s">
        <v>387</v>
      </c>
      <c r="CU694" s="301">
        <v>0</v>
      </c>
    </row>
    <row r="695" spans="91:99">
      <c r="CM695" s="299">
        <v>2019</v>
      </c>
      <c r="CN695" s="299">
        <v>3680</v>
      </c>
      <c r="CO695" s="300" t="s">
        <v>252</v>
      </c>
      <c r="CP695" s="299">
        <v>755</v>
      </c>
      <c r="CQ695" s="299">
        <v>32</v>
      </c>
      <c r="CR695" s="294" t="s">
        <v>385</v>
      </c>
      <c r="CS695" s="294" t="s">
        <v>404</v>
      </c>
      <c r="CT695" s="294" t="s">
        <v>388</v>
      </c>
      <c r="CU695" s="301">
        <v>557000</v>
      </c>
    </row>
    <row r="696" spans="91:99">
      <c r="CM696" s="299">
        <v>2019</v>
      </c>
      <c r="CN696" s="299">
        <v>3680</v>
      </c>
      <c r="CO696" s="300" t="s">
        <v>252</v>
      </c>
      <c r="CP696" s="299">
        <v>755</v>
      </c>
      <c r="CQ696" s="299">
        <v>33</v>
      </c>
      <c r="CR696" s="294" t="s">
        <v>385</v>
      </c>
      <c r="CS696" s="294" t="s">
        <v>404</v>
      </c>
      <c r="CT696" s="294" t="s">
        <v>389</v>
      </c>
      <c r="CU696" s="301">
        <v>9348000</v>
      </c>
    </row>
    <row r="697" spans="91:99">
      <c r="CM697" s="299">
        <v>2019</v>
      </c>
      <c r="CN697" s="299">
        <v>3680</v>
      </c>
      <c r="CO697" s="300" t="s">
        <v>252</v>
      </c>
      <c r="CP697" s="299">
        <v>755</v>
      </c>
      <c r="CQ697" s="299">
        <v>34</v>
      </c>
      <c r="CR697" s="294" t="s">
        <v>385</v>
      </c>
      <c r="CS697" s="294" t="s">
        <v>404</v>
      </c>
      <c r="CT697" s="294" t="s">
        <v>390</v>
      </c>
      <c r="CU697" s="301">
        <v>5283000</v>
      </c>
    </row>
    <row r="698" spans="91:99">
      <c r="CM698" s="299">
        <v>2019</v>
      </c>
      <c r="CN698" s="299">
        <v>3680</v>
      </c>
      <c r="CO698" s="300" t="s">
        <v>252</v>
      </c>
      <c r="CP698" s="299">
        <v>755</v>
      </c>
      <c r="CQ698" s="299">
        <v>35</v>
      </c>
      <c r="CR698" s="294" t="s">
        <v>385</v>
      </c>
      <c r="CS698" s="294" t="s">
        <v>404</v>
      </c>
      <c r="CT698" s="294" t="s">
        <v>391</v>
      </c>
      <c r="CU698" s="301">
        <v>3948000</v>
      </c>
    </row>
    <row r="699" spans="91:99">
      <c r="CM699" s="299">
        <v>2019</v>
      </c>
      <c r="CN699" s="299">
        <v>3680</v>
      </c>
      <c r="CO699" s="300" t="s">
        <v>252</v>
      </c>
      <c r="CP699" s="299">
        <v>755</v>
      </c>
      <c r="CQ699" s="299">
        <v>36</v>
      </c>
      <c r="CR699" s="294" t="s">
        <v>385</v>
      </c>
      <c r="CS699" s="294" t="s">
        <v>404</v>
      </c>
      <c r="CT699" s="294" t="s">
        <v>392</v>
      </c>
      <c r="CU699" s="301">
        <v>44350000</v>
      </c>
    </row>
    <row r="700" spans="91:99">
      <c r="CM700" s="299">
        <v>2019</v>
      </c>
      <c r="CN700" s="299">
        <v>3680</v>
      </c>
      <c r="CO700" s="300" t="s">
        <v>252</v>
      </c>
      <c r="CP700" s="299">
        <v>755</v>
      </c>
      <c r="CQ700" s="299">
        <v>37</v>
      </c>
      <c r="CR700" s="294" t="s">
        <v>385</v>
      </c>
      <c r="CS700" s="294" t="s">
        <v>404</v>
      </c>
      <c r="CT700" s="294" t="s">
        <v>393</v>
      </c>
      <c r="CU700" s="301">
        <v>442000</v>
      </c>
    </row>
    <row r="701" spans="91:99">
      <c r="CM701" s="299">
        <v>2019</v>
      </c>
      <c r="CN701" s="299">
        <v>3680</v>
      </c>
      <c r="CO701" s="300" t="s">
        <v>252</v>
      </c>
      <c r="CP701" s="299">
        <v>755</v>
      </c>
      <c r="CQ701" s="299">
        <v>38</v>
      </c>
      <c r="CR701" s="294" t="s">
        <v>385</v>
      </c>
      <c r="CS701" s="294" t="s">
        <v>404</v>
      </c>
      <c r="CT701" s="294" t="s">
        <v>394</v>
      </c>
      <c r="CU701" s="301">
        <v>124000</v>
      </c>
    </row>
    <row r="702" spans="91:99">
      <c r="CM702" s="299">
        <v>2019</v>
      </c>
      <c r="CN702" s="299">
        <v>3680</v>
      </c>
      <c r="CO702" s="300" t="s">
        <v>252</v>
      </c>
      <c r="CP702" s="299">
        <v>755</v>
      </c>
      <c r="CQ702" s="299">
        <v>39</v>
      </c>
      <c r="CR702" s="294" t="s">
        <v>385</v>
      </c>
      <c r="CS702" s="294" t="s">
        <v>404</v>
      </c>
      <c r="CT702" s="294" t="s">
        <v>395</v>
      </c>
      <c r="CU702" s="301">
        <v>16000</v>
      </c>
    </row>
    <row r="703" spans="91:99">
      <c r="CM703" s="299">
        <v>2019</v>
      </c>
      <c r="CN703" s="299">
        <v>3680</v>
      </c>
      <c r="CO703" s="300" t="s">
        <v>252</v>
      </c>
      <c r="CP703" s="299">
        <v>755</v>
      </c>
      <c r="CQ703" s="299">
        <v>40</v>
      </c>
      <c r="CR703" s="294" t="s">
        <v>385</v>
      </c>
      <c r="CS703" s="294" t="s">
        <v>404</v>
      </c>
      <c r="CT703" s="294" t="s">
        <v>396</v>
      </c>
      <c r="CU703" s="301">
        <v>4000</v>
      </c>
    </row>
    <row r="704" spans="91:99">
      <c r="CM704" s="299">
        <v>2019</v>
      </c>
      <c r="CN704" s="299">
        <v>3680</v>
      </c>
      <c r="CO704" s="300" t="s">
        <v>252</v>
      </c>
      <c r="CP704" s="299">
        <v>755</v>
      </c>
      <c r="CQ704" s="299">
        <v>41</v>
      </c>
      <c r="CR704" s="294" t="s">
        <v>385</v>
      </c>
      <c r="CS704" s="294" t="s">
        <v>404</v>
      </c>
      <c r="CT704" s="294" t="s">
        <v>397</v>
      </c>
      <c r="CU704" s="301">
        <v>382000</v>
      </c>
    </row>
    <row r="705" spans="91:99">
      <c r="CM705" s="299">
        <v>2019</v>
      </c>
      <c r="CN705" s="299">
        <v>3680</v>
      </c>
      <c r="CO705" s="300" t="s">
        <v>252</v>
      </c>
      <c r="CP705" s="299">
        <v>755</v>
      </c>
      <c r="CQ705" s="299">
        <v>42</v>
      </c>
      <c r="CR705" s="294" t="s">
        <v>385</v>
      </c>
      <c r="CS705" s="294" t="s">
        <v>404</v>
      </c>
      <c r="CT705" s="294" t="s">
        <v>398</v>
      </c>
      <c r="CU705" s="301">
        <v>2132000</v>
      </c>
    </row>
    <row r="706" spans="91:99">
      <c r="CM706" s="299">
        <v>2019</v>
      </c>
      <c r="CN706" s="299">
        <v>3680</v>
      </c>
      <c r="CO706" s="300" t="s">
        <v>252</v>
      </c>
      <c r="CP706" s="299">
        <v>755</v>
      </c>
      <c r="CQ706" s="299">
        <v>43</v>
      </c>
      <c r="CR706" s="294" t="s">
        <v>385</v>
      </c>
      <c r="CS706" s="294" t="s">
        <v>404</v>
      </c>
      <c r="CT706" s="294" t="s">
        <v>399</v>
      </c>
      <c r="CU706" s="301">
        <v>158000</v>
      </c>
    </row>
    <row r="707" spans="91:99">
      <c r="CM707" s="299">
        <v>2019</v>
      </c>
      <c r="CN707" s="299">
        <v>3680</v>
      </c>
      <c r="CO707" s="300" t="s">
        <v>252</v>
      </c>
      <c r="CP707" s="299">
        <v>755</v>
      </c>
      <c r="CQ707" s="299">
        <v>44</v>
      </c>
      <c r="CR707" s="294" t="s">
        <v>385</v>
      </c>
      <c r="CS707" s="294" t="s">
        <v>404</v>
      </c>
      <c r="CT707" s="294" t="s">
        <v>400</v>
      </c>
      <c r="CU707" s="301">
        <v>10171000</v>
      </c>
    </row>
    <row r="708" spans="91:99">
      <c r="CM708" s="299">
        <v>2019</v>
      </c>
      <c r="CN708" s="299">
        <v>3680</v>
      </c>
      <c r="CO708" s="300" t="s">
        <v>252</v>
      </c>
      <c r="CP708" s="299">
        <v>755</v>
      </c>
      <c r="CQ708" s="299">
        <v>45</v>
      </c>
      <c r="CR708" s="294" t="s">
        <v>385</v>
      </c>
      <c r="CS708" s="294" t="s">
        <v>405</v>
      </c>
      <c r="CT708" s="294" t="s">
        <v>402</v>
      </c>
      <c r="CU708" s="301">
        <v>123000</v>
      </c>
    </row>
    <row r="709" spans="91:99">
      <c r="CM709" s="299">
        <v>2019</v>
      </c>
      <c r="CN709" s="299">
        <v>3680</v>
      </c>
      <c r="CO709" s="300" t="s">
        <v>252</v>
      </c>
      <c r="CP709" s="299">
        <v>755</v>
      </c>
      <c r="CQ709" s="299">
        <v>46</v>
      </c>
      <c r="CR709" s="294" t="s">
        <v>385</v>
      </c>
      <c r="CS709" s="294" t="s">
        <v>405</v>
      </c>
      <c r="CT709" s="294" t="s">
        <v>406</v>
      </c>
      <c r="CU709" s="301">
        <v>77038000</v>
      </c>
    </row>
    <row r="710" spans="91:99">
      <c r="CM710" s="299">
        <v>2019</v>
      </c>
      <c r="CN710" s="299">
        <v>3680</v>
      </c>
      <c r="CO710" s="300" t="s">
        <v>252</v>
      </c>
      <c r="CP710" s="299">
        <v>755</v>
      </c>
      <c r="CQ710" s="299">
        <v>47</v>
      </c>
      <c r="CR710" s="294" t="s">
        <v>385</v>
      </c>
      <c r="CS710" s="294" t="s">
        <v>407</v>
      </c>
      <c r="CT710" s="294" t="s">
        <v>387</v>
      </c>
      <c r="CU710" s="301">
        <v>0</v>
      </c>
    </row>
    <row r="711" spans="91:99">
      <c r="CM711" s="299">
        <v>2019</v>
      </c>
      <c r="CN711" s="299">
        <v>3680</v>
      </c>
      <c r="CO711" s="300" t="s">
        <v>252</v>
      </c>
      <c r="CP711" s="299">
        <v>755</v>
      </c>
      <c r="CQ711" s="299">
        <v>48</v>
      </c>
      <c r="CR711" s="294" t="s">
        <v>385</v>
      </c>
      <c r="CS711" s="294" t="s">
        <v>407</v>
      </c>
      <c r="CT711" s="294" t="s">
        <v>388</v>
      </c>
      <c r="CU711" s="301">
        <v>385000</v>
      </c>
    </row>
    <row r="712" spans="91:99">
      <c r="CM712" s="299">
        <v>2019</v>
      </c>
      <c r="CN712" s="299">
        <v>3680</v>
      </c>
      <c r="CO712" s="300" t="s">
        <v>252</v>
      </c>
      <c r="CP712" s="299">
        <v>755</v>
      </c>
      <c r="CQ712" s="299">
        <v>49</v>
      </c>
      <c r="CR712" s="294" t="s">
        <v>385</v>
      </c>
      <c r="CS712" s="294" t="s">
        <v>407</v>
      </c>
      <c r="CT712" s="294" t="s">
        <v>389</v>
      </c>
      <c r="CU712" s="301">
        <v>2340000</v>
      </c>
    </row>
    <row r="713" spans="91:99">
      <c r="CM713" s="299">
        <v>2019</v>
      </c>
      <c r="CN713" s="299">
        <v>3680</v>
      </c>
      <c r="CO713" s="300" t="s">
        <v>252</v>
      </c>
      <c r="CP713" s="299">
        <v>755</v>
      </c>
      <c r="CQ713" s="299">
        <v>50</v>
      </c>
      <c r="CR713" s="294" t="s">
        <v>385</v>
      </c>
      <c r="CS713" s="294" t="s">
        <v>407</v>
      </c>
      <c r="CT713" s="294" t="s">
        <v>390</v>
      </c>
      <c r="CU713" s="301">
        <v>12789000</v>
      </c>
    </row>
    <row r="714" spans="91:99">
      <c r="CM714" s="299">
        <v>2019</v>
      </c>
      <c r="CN714" s="299">
        <v>3680</v>
      </c>
      <c r="CO714" s="300" t="s">
        <v>252</v>
      </c>
      <c r="CP714" s="299">
        <v>755</v>
      </c>
      <c r="CQ714" s="299">
        <v>51</v>
      </c>
      <c r="CR714" s="294" t="s">
        <v>385</v>
      </c>
      <c r="CS714" s="294" t="s">
        <v>407</v>
      </c>
      <c r="CT714" s="294" t="s">
        <v>391</v>
      </c>
      <c r="CU714" s="301">
        <v>2316000</v>
      </c>
    </row>
    <row r="715" spans="91:99">
      <c r="CM715" s="299">
        <v>2019</v>
      </c>
      <c r="CN715" s="299">
        <v>3680</v>
      </c>
      <c r="CO715" s="300" t="s">
        <v>252</v>
      </c>
      <c r="CP715" s="299">
        <v>755</v>
      </c>
      <c r="CQ715" s="299">
        <v>52</v>
      </c>
      <c r="CR715" s="294" t="s">
        <v>385</v>
      </c>
      <c r="CS715" s="294" t="s">
        <v>407</v>
      </c>
      <c r="CT715" s="294" t="s">
        <v>392</v>
      </c>
      <c r="CU715" s="301">
        <v>105287000</v>
      </c>
    </row>
    <row r="716" spans="91:99">
      <c r="CM716" s="299">
        <v>2019</v>
      </c>
      <c r="CN716" s="299">
        <v>3680</v>
      </c>
      <c r="CO716" s="300" t="s">
        <v>252</v>
      </c>
      <c r="CP716" s="299">
        <v>755</v>
      </c>
      <c r="CQ716" s="299">
        <v>53</v>
      </c>
      <c r="CR716" s="294" t="s">
        <v>385</v>
      </c>
      <c r="CS716" s="294" t="s">
        <v>407</v>
      </c>
      <c r="CT716" s="294" t="s">
        <v>393</v>
      </c>
      <c r="CU716" s="301">
        <v>468000</v>
      </c>
    </row>
    <row r="717" spans="91:99">
      <c r="CM717" s="299">
        <v>2019</v>
      </c>
      <c r="CN717" s="299">
        <v>3680</v>
      </c>
      <c r="CO717" s="300" t="s">
        <v>252</v>
      </c>
      <c r="CP717" s="299">
        <v>755</v>
      </c>
      <c r="CQ717" s="299">
        <v>54</v>
      </c>
      <c r="CR717" s="294" t="s">
        <v>385</v>
      </c>
      <c r="CS717" s="294" t="s">
        <v>407</v>
      </c>
      <c r="CT717" s="294" t="s">
        <v>394</v>
      </c>
      <c r="CU717" s="301">
        <v>902000</v>
      </c>
    </row>
    <row r="718" spans="91:99">
      <c r="CM718" s="299">
        <v>2019</v>
      </c>
      <c r="CN718" s="299">
        <v>3680</v>
      </c>
      <c r="CO718" s="300" t="s">
        <v>252</v>
      </c>
      <c r="CP718" s="299">
        <v>755</v>
      </c>
      <c r="CQ718" s="299">
        <v>55</v>
      </c>
      <c r="CR718" s="294" t="s">
        <v>385</v>
      </c>
      <c r="CS718" s="294" t="s">
        <v>407</v>
      </c>
      <c r="CT718" s="294" t="s">
        <v>395</v>
      </c>
      <c r="CU718" s="301">
        <v>2264000</v>
      </c>
    </row>
    <row r="719" spans="91:99">
      <c r="CM719" s="299">
        <v>2019</v>
      </c>
      <c r="CN719" s="299">
        <v>3680</v>
      </c>
      <c r="CO719" s="300" t="s">
        <v>252</v>
      </c>
      <c r="CP719" s="299">
        <v>755</v>
      </c>
      <c r="CQ719" s="299">
        <v>56</v>
      </c>
      <c r="CR719" s="294" t="s">
        <v>385</v>
      </c>
      <c r="CS719" s="294" t="s">
        <v>407</v>
      </c>
      <c r="CT719" s="294" t="s">
        <v>396</v>
      </c>
      <c r="CU719" s="301">
        <v>2000</v>
      </c>
    </row>
    <row r="720" spans="91:99">
      <c r="CM720" s="299">
        <v>2019</v>
      </c>
      <c r="CN720" s="299">
        <v>3680</v>
      </c>
      <c r="CO720" s="300" t="s">
        <v>252</v>
      </c>
      <c r="CP720" s="299">
        <v>755</v>
      </c>
      <c r="CQ720" s="299">
        <v>57</v>
      </c>
      <c r="CR720" s="294" t="s">
        <v>385</v>
      </c>
      <c r="CS720" s="294" t="s">
        <v>407</v>
      </c>
      <c r="CT720" s="294" t="s">
        <v>397</v>
      </c>
      <c r="CU720" s="301">
        <v>44960000</v>
      </c>
    </row>
    <row r="721" spans="91:99">
      <c r="CM721" s="299">
        <v>2019</v>
      </c>
      <c r="CN721" s="299">
        <v>3680</v>
      </c>
      <c r="CO721" s="300" t="s">
        <v>252</v>
      </c>
      <c r="CP721" s="299">
        <v>755</v>
      </c>
      <c r="CQ721" s="299">
        <v>58</v>
      </c>
      <c r="CR721" s="294" t="s">
        <v>385</v>
      </c>
      <c r="CS721" s="294" t="s">
        <v>407</v>
      </c>
      <c r="CT721" s="294" t="s">
        <v>398</v>
      </c>
      <c r="CU721" s="301">
        <v>21051000</v>
      </c>
    </row>
    <row r="722" spans="91:99">
      <c r="CM722" s="299">
        <v>2019</v>
      </c>
      <c r="CN722" s="299">
        <v>3680</v>
      </c>
      <c r="CO722" s="300" t="s">
        <v>252</v>
      </c>
      <c r="CP722" s="299">
        <v>755</v>
      </c>
      <c r="CQ722" s="299">
        <v>59</v>
      </c>
      <c r="CR722" s="294" t="s">
        <v>385</v>
      </c>
      <c r="CS722" s="294" t="s">
        <v>407</v>
      </c>
      <c r="CT722" s="294" t="s">
        <v>399</v>
      </c>
      <c r="CU722" s="301">
        <v>1000</v>
      </c>
    </row>
    <row r="723" spans="91:99">
      <c r="CM723" s="299">
        <v>2019</v>
      </c>
      <c r="CN723" s="299">
        <v>3680</v>
      </c>
      <c r="CO723" s="300" t="s">
        <v>252</v>
      </c>
      <c r="CP723" s="299">
        <v>755</v>
      </c>
      <c r="CQ723" s="299">
        <v>60</v>
      </c>
      <c r="CR723" s="294" t="s">
        <v>385</v>
      </c>
      <c r="CS723" s="294" t="s">
        <v>407</v>
      </c>
      <c r="CT723" s="294" t="s">
        <v>400</v>
      </c>
      <c r="CU723" s="301">
        <v>4292000</v>
      </c>
    </row>
    <row r="724" spans="91:99">
      <c r="CM724" s="299">
        <v>2019</v>
      </c>
      <c r="CN724" s="299">
        <v>3680</v>
      </c>
      <c r="CO724" s="300" t="s">
        <v>252</v>
      </c>
      <c r="CP724" s="299">
        <v>755</v>
      </c>
      <c r="CQ724" s="299">
        <v>61</v>
      </c>
      <c r="CR724" s="294" t="s">
        <v>385</v>
      </c>
      <c r="CS724" s="294" t="s">
        <v>407</v>
      </c>
      <c r="CT724" s="294" t="s">
        <v>408</v>
      </c>
      <c r="CU724" s="301">
        <v>9236000</v>
      </c>
    </row>
    <row r="725" spans="91:99">
      <c r="CM725" s="299">
        <v>2019</v>
      </c>
      <c r="CN725" s="299">
        <v>3680</v>
      </c>
      <c r="CO725" s="300" t="s">
        <v>252</v>
      </c>
      <c r="CP725" s="299">
        <v>755</v>
      </c>
      <c r="CQ725" s="299">
        <v>62</v>
      </c>
      <c r="CR725" s="294" t="s">
        <v>385</v>
      </c>
      <c r="CS725" s="294" t="s">
        <v>407</v>
      </c>
      <c r="CT725" s="294" t="s">
        <v>409</v>
      </c>
      <c r="CU725" s="301">
        <v>136435000</v>
      </c>
    </row>
    <row r="726" spans="91:99">
      <c r="CM726" s="299">
        <v>2019</v>
      </c>
      <c r="CN726" s="299">
        <v>3680</v>
      </c>
      <c r="CO726" s="300" t="s">
        <v>252</v>
      </c>
      <c r="CP726" s="299">
        <v>755</v>
      </c>
      <c r="CQ726" s="299">
        <v>63</v>
      </c>
      <c r="CR726" s="294" t="s">
        <v>385</v>
      </c>
      <c r="CS726" s="294" t="s">
        <v>410</v>
      </c>
      <c r="CT726" s="294" t="s">
        <v>402</v>
      </c>
      <c r="CU726" s="301">
        <v>153000</v>
      </c>
    </row>
    <row r="727" spans="91:99">
      <c r="CM727" s="299">
        <v>2019</v>
      </c>
      <c r="CN727" s="299">
        <v>3680</v>
      </c>
      <c r="CO727" s="300" t="s">
        <v>252</v>
      </c>
      <c r="CP727" s="299">
        <v>755</v>
      </c>
      <c r="CQ727" s="299">
        <v>64</v>
      </c>
      <c r="CR727" s="294" t="s">
        <v>385</v>
      </c>
      <c r="CS727" s="294" t="s">
        <v>410</v>
      </c>
      <c r="CT727" s="294" t="s">
        <v>411</v>
      </c>
      <c r="CU727" s="301">
        <v>342881000</v>
      </c>
    </row>
    <row r="728" spans="91:99">
      <c r="CM728" s="299">
        <v>2019</v>
      </c>
      <c r="CN728" s="299">
        <v>3680</v>
      </c>
      <c r="CO728" s="300" t="s">
        <v>252</v>
      </c>
      <c r="CP728" s="299">
        <v>755</v>
      </c>
      <c r="CQ728" s="299">
        <v>65</v>
      </c>
      <c r="CR728" s="294" t="s">
        <v>385</v>
      </c>
      <c r="CS728" s="294" t="s">
        <v>412</v>
      </c>
      <c r="CT728" s="294" t="s">
        <v>387</v>
      </c>
      <c r="CU728" s="301">
        <v>0</v>
      </c>
    </row>
    <row r="729" spans="91:99">
      <c r="CM729" s="299">
        <v>2019</v>
      </c>
      <c r="CN729" s="299">
        <v>3680</v>
      </c>
      <c r="CO729" s="300" t="s">
        <v>252</v>
      </c>
      <c r="CP729" s="299">
        <v>755</v>
      </c>
      <c r="CQ729" s="299">
        <v>66</v>
      </c>
      <c r="CR729" s="294" t="s">
        <v>385</v>
      </c>
      <c r="CS729" s="294" t="s">
        <v>412</v>
      </c>
      <c r="CT729" s="294" t="s">
        <v>388</v>
      </c>
      <c r="CU729" s="301">
        <v>307000</v>
      </c>
    </row>
    <row r="730" spans="91:99">
      <c r="CM730" s="299">
        <v>2019</v>
      </c>
      <c r="CN730" s="299">
        <v>3680</v>
      </c>
      <c r="CO730" s="300" t="s">
        <v>252</v>
      </c>
      <c r="CP730" s="299">
        <v>755</v>
      </c>
      <c r="CQ730" s="299">
        <v>67</v>
      </c>
      <c r="CR730" s="294" t="s">
        <v>385</v>
      </c>
      <c r="CS730" s="294" t="s">
        <v>412</v>
      </c>
      <c r="CT730" s="294" t="s">
        <v>389</v>
      </c>
      <c r="CU730" s="301">
        <v>2709000</v>
      </c>
    </row>
    <row r="731" spans="91:99">
      <c r="CM731" s="299">
        <v>2019</v>
      </c>
      <c r="CN731" s="299">
        <v>3680</v>
      </c>
      <c r="CO731" s="300" t="s">
        <v>252</v>
      </c>
      <c r="CP731" s="299">
        <v>755</v>
      </c>
      <c r="CQ731" s="299">
        <v>68</v>
      </c>
      <c r="CR731" s="294" t="s">
        <v>385</v>
      </c>
      <c r="CS731" s="294" t="s">
        <v>412</v>
      </c>
      <c r="CT731" s="294" t="s">
        <v>390</v>
      </c>
      <c r="CU731" s="301">
        <v>12586000</v>
      </c>
    </row>
    <row r="732" spans="91:99">
      <c r="CM732" s="299">
        <v>2019</v>
      </c>
      <c r="CN732" s="299">
        <v>3680</v>
      </c>
      <c r="CO732" s="300" t="s">
        <v>252</v>
      </c>
      <c r="CP732" s="299">
        <v>755</v>
      </c>
      <c r="CQ732" s="299">
        <v>69</v>
      </c>
      <c r="CR732" s="294" t="s">
        <v>385</v>
      </c>
      <c r="CS732" s="294" t="s">
        <v>412</v>
      </c>
      <c r="CT732" s="294" t="s">
        <v>391</v>
      </c>
      <c r="CU732" s="301">
        <v>2382000</v>
      </c>
    </row>
    <row r="733" spans="91:99">
      <c r="CM733" s="299">
        <v>2019</v>
      </c>
      <c r="CN733" s="299">
        <v>3680</v>
      </c>
      <c r="CO733" s="300" t="s">
        <v>252</v>
      </c>
      <c r="CP733" s="299">
        <v>755</v>
      </c>
      <c r="CQ733" s="299">
        <v>70</v>
      </c>
      <c r="CR733" s="294" t="s">
        <v>385</v>
      </c>
      <c r="CS733" s="294" t="s">
        <v>412</v>
      </c>
      <c r="CT733" s="294" t="s">
        <v>392</v>
      </c>
      <c r="CU733" s="301">
        <v>104869000</v>
      </c>
    </row>
    <row r="734" spans="91:99">
      <c r="CM734" s="299">
        <v>2019</v>
      </c>
      <c r="CN734" s="299">
        <v>3680</v>
      </c>
      <c r="CO734" s="300" t="s">
        <v>252</v>
      </c>
      <c r="CP734" s="299">
        <v>755</v>
      </c>
      <c r="CQ734" s="299">
        <v>71</v>
      </c>
      <c r="CR734" s="294" t="s">
        <v>385</v>
      </c>
      <c r="CS734" s="294" t="s">
        <v>412</v>
      </c>
      <c r="CT734" s="294" t="s">
        <v>393</v>
      </c>
      <c r="CU734" s="301">
        <v>467000</v>
      </c>
    </row>
    <row r="735" spans="91:99">
      <c r="CM735" s="299">
        <v>2019</v>
      </c>
      <c r="CN735" s="299">
        <v>3680</v>
      </c>
      <c r="CO735" s="300" t="s">
        <v>252</v>
      </c>
      <c r="CP735" s="299">
        <v>755</v>
      </c>
      <c r="CQ735" s="299">
        <v>72</v>
      </c>
      <c r="CR735" s="294" t="s">
        <v>385</v>
      </c>
      <c r="CS735" s="294" t="s">
        <v>412</v>
      </c>
      <c r="CT735" s="294" t="s">
        <v>394</v>
      </c>
      <c r="CU735" s="301">
        <v>813000</v>
      </c>
    </row>
    <row r="736" spans="91:99">
      <c r="CM736" s="299">
        <v>2019</v>
      </c>
      <c r="CN736" s="299">
        <v>3680</v>
      </c>
      <c r="CO736" s="300" t="s">
        <v>252</v>
      </c>
      <c r="CP736" s="299">
        <v>755</v>
      </c>
      <c r="CQ736" s="299">
        <v>73</v>
      </c>
      <c r="CR736" s="294" t="s">
        <v>385</v>
      </c>
      <c r="CS736" s="294" t="s">
        <v>412</v>
      </c>
      <c r="CT736" s="294" t="s">
        <v>395</v>
      </c>
      <c r="CU736" s="301">
        <v>2224000</v>
      </c>
    </row>
    <row r="737" spans="91:99">
      <c r="CM737" s="299">
        <v>2019</v>
      </c>
      <c r="CN737" s="299">
        <v>3680</v>
      </c>
      <c r="CO737" s="300" t="s">
        <v>252</v>
      </c>
      <c r="CP737" s="299">
        <v>755</v>
      </c>
      <c r="CQ737" s="299">
        <v>74</v>
      </c>
      <c r="CR737" s="294" t="s">
        <v>385</v>
      </c>
      <c r="CS737" s="294" t="s">
        <v>412</v>
      </c>
      <c r="CT737" s="294" t="s">
        <v>396</v>
      </c>
      <c r="CU737" s="301">
        <v>3000</v>
      </c>
    </row>
    <row r="738" spans="91:99">
      <c r="CM738" s="299">
        <v>2019</v>
      </c>
      <c r="CN738" s="299">
        <v>3680</v>
      </c>
      <c r="CO738" s="300" t="s">
        <v>252</v>
      </c>
      <c r="CP738" s="299">
        <v>755</v>
      </c>
      <c r="CQ738" s="299">
        <v>75</v>
      </c>
      <c r="CR738" s="294" t="s">
        <v>385</v>
      </c>
      <c r="CS738" s="294" t="s">
        <v>412</v>
      </c>
      <c r="CT738" s="294" t="s">
        <v>397</v>
      </c>
      <c r="CU738" s="301">
        <v>1848000</v>
      </c>
    </row>
    <row r="739" spans="91:99">
      <c r="CM739" s="299">
        <v>2019</v>
      </c>
      <c r="CN739" s="299">
        <v>3680</v>
      </c>
      <c r="CO739" s="300" t="s">
        <v>252</v>
      </c>
      <c r="CP739" s="299">
        <v>755</v>
      </c>
      <c r="CQ739" s="299">
        <v>76</v>
      </c>
      <c r="CR739" s="294" t="s">
        <v>385</v>
      </c>
      <c r="CS739" s="294" t="s">
        <v>412</v>
      </c>
      <c r="CT739" s="294" t="s">
        <v>398</v>
      </c>
      <c r="CU739" s="301">
        <v>12018000</v>
      </c>
    </row>
    <row r="740" spans="91:99">
      <c r="CM740" s="299">
        <v>2019</v>
      </c>
      <c r="CN740" s="299">
        <v>3680</v>
      </c>
      <c r="CO740" s="300" t="s">
        <v>252</v>
      </c>
      <c r="CP740" s="299">
        <v>755</v>
      </c>
      <c r="CQ740" s="299">
        <v>77</v>
      </c>
      <c r="CR740" s="294" t="s">
        <v>385</v>
      </c>
      <c r="CS740" s="294" t="s">
        <v>412</v>
      </c>
      <c r="CT740" s="294" t="s">
        <v>399</v>
      </c>
      <c r="CU740" s="301">
        <v>1000</v>
      </c>
    </row>
    <row r="741" spans="91:99">
      <c r="CM741" s="299">
        <v>2019</v>
      </c>
      <c r="CN741" s="299">
        <v>3680</v>
      </c>
      <c r="CO741" s="300" t="s">
        <v>252</v>
      </c>
      <c r="CP741" s="299">
        <v>755</v>
      </c>
      <c r="CQ741" s="299">
        <v>78</v>
      </c>
      <c r="CR741" s="294" t="s">
        <v>385</v>
      </c>
      <c r="CS741" s="294" t="s">
        <v>412</v>
      </c>
      <c r="CT741" s="294" t="s">
        <v>400</v>
      </c>
      <c r="CU741" s="301">
        <v>4686000</v>
      </c>
    </row>
    <row r="742" spans="91:99">
      <c r="CM742" s="299">
        <v>2019</v>
      </c>
      <c r="CN742" s="299">
        <v>3680</v>
      </c>
      <c r="CO742" s="300" t="s">
        <v>252</v>
      </c>
      <c r="CP742" s="299">
        <v>755</v>
      </c>
      <c r="CQ742" s="299">
        <v>79</v>
      </c>
      <c r="CR742" s="294" t="s">
        <v>385</v>
      </c>
      <c r="CS742" s="294" t="s">
        <v>412</v>
      </c>
      <c r="CT742" s="294" t="s">
        <v>408</v>
      </c>
      <c r="CU742" s="301">
        <v>9804000</v>
      </c>
    </row>
    <row r="743" spans="91:99">
      <c r="CM743" s="299">
        <v>2019</v>
      </c>
      <c r="CN743" s="299">
        <v>3680</v>
      </c>
      <c r="CO743" s="300" t="s">
        <v>252</v>
      </c>
      <c r="CP743" s="299">
        <v>755</v>
      </c>
      <c r="CQ743" s="299">
        <v>80</v>
      </c>
      <c r="CR743" s="294" t="s">
        <v>385</v>
      </c>
      <c r="CS743" s="294" t="s">
        <v>412</v>
      </c>
      <c r="CT743" s="294" t="s">
        <v>409</v>
      </c>
      <c r="CU743" s="301">
        <v>136586000</v>
      </c>
    </row>
    <row r="744" spans="91:99">
      <c r="CM744" s="299">
        <v>2019</v>
      </c>
      <c r="CN744" s="299">
        <v>3680</v>
      </c>
      <c r="CO744" s="300" t="s">
        <v>252</v>
      </c>
      <c r="CP744" s="299">
        <v>755</v>
      </c>
      <c r="CQ744" s="299">
        <v>81</v>
      </c>
      <c r="CR744" s="294" t="s">
        <v>385</v>
      </c>
      <c r="CS744" s="294" t="s">
        <v>413</v>
      </c>
      <c r="CT744" s="294" t="s">
        <v>402</v>
      </c>
      <c r="CU744" s="301">
        <v>31000</v>
      </c>
    </row>
    <row r="745" spans="91:99">
      <c r="CM745" s="299">
        <v>2019</v>
      </c>
      <c r="CN745" s="299">
        <v>3680</v>
      </c>
      <c r="CO745" s="300" t="s">
        <v>252</v>
      </c>
      <c r="CP745" s="299">
        <v>755</v>
      </c>
      <c r="CQ745" s="299">
        <v>82</v>
      </c>
      <c r="CR745" s="294" t="s">
        <v>385</v>
      </c>
      <c r="CS745" s="294" t="s">
        <v>413</v>
      </c>
      <c r="CT745" s="294" t="s">
        <v>414</v>
      </c>
      <c r="CU745" s="301">
        <v>291334000</v>
      </c>
    </row>
    <row r="746" spans="91:99">
      <c r="CM746" s="299">
        <v>2019</v>
      </c>
      <c r="CN746" s="299">
        <v>3680</v>
      </c>
      <c r="CO746" s="300" t="s">
        <v>252</v>
      </c>
      <c r="CP746" s="299">
        <v>755</v>
      </c>
      <c r="CQ746" s="299">
        <v>83</v>
      </c>
      <c r="CR746" s="294" t="s">
        <v>377</v>
      </c>
      <c r="CS746" s="294" t="s">
        <v>378</v>
      </c>
      <c r="CT746" s="294" t="s">
        <v>415</v>
      </c>
      <c r="CU746" s="301">
        <v>2087000</v>
      </c>
    </row>
    <row r="747" spans="91:99">
      <c r="CM747" s="299">
        <v>2019</v>
      </c>
      <c r="CN747" s="299">
        <v>3680</v>
      </c>
      <c r="CO747" s="300" t="s">
        <v>252</v>
      </c>
      <c r="CP747" s="299">
        <v>755</v>
      </c>
      <c r="CQ747" s="299">
        <v>84</v>
      </c>
      <c r="CR747" s="294" t="s">
        <v>377</v>
      </c>
      <c r="CS747" s="294" t="s">
        <v>378</v>
      </c>
      <c r="CT747" s="294" t="s">
        <v>416</v>
      </c>
      <c r="CU747" s="301">
        <v>0</v>
      </c>
    </row>
    <row r="748" spans="91:99">
      <c r="CM748" s="299">
        <v>2019</v>
      </c>
      <c r="CN748" s="299">
        <v>3680</v>
      </c>
      <c r="CO748" s="300" t="s">
        <v>252</v>
      </c>
      <c r="CP748" s="299">
        <v>755</v>
      </c>
      <c r="CQ748" s="299">
        <v>85</v>
      </c>
      <c r="CR748" s="294" t="s">
        <v>339</v>
      </c>
      <c r="CS748" s="294" t="s">
        <v>340</v>
      </c>
      <c r="CT748" s="294" t="s">
        <v>322</v>
      </c>
      <c r="CU748" s="301">
        <v>288140000</v>
      </c>
    </row>
    <row r="749" spans="91:99">
      <c r="CM749" s="299">
        <v>2019</v>
      </c>
      <c r="CN749" s="299">
        <v>3680</v>
      </c>
      <c r="CO749" s="300" t="s">
        <v>252</v>
      </c>
      <c r="CP749" s="299">
        <v>755</v>
      </c>
      <c r="CQ749" s="299">
        <v>86</v>
      </c>
      <c r="CR749" s="294" t="s">
        <v>339</v>
      </c>
      <c r="CS749" s="294" t="s">
        <v>340</v>
      </c>
      <c r="CT749" s="294" t="s">
        <v>323</v>
      </c>
      <c r="CU749" s="301">
        <v>66009000</v>
      </c>
    </row>
    <row r="750" spans="91:99">
      <c r="CM750" s="299">
        <v>2019</v>
      </c>
      <c r="CN750" s="299">
        <v>3680</v>
      </c>
      <c r="CO750" s="300" t="s">
        <v>252</v>
      </c>
      <c r="CP750" s="299">
        <v>755</v>
      </c>
      <c r="CQ750" s="299">
        <v>87</v>
      </c>
      <c r="CR750" s="294" t="s">
        <v>339</v>
      </c>
      <c r="CS750" s="294" t="s">
        <v>341</v>
      </c>
      <c r="CT750" s="294" t="s">
        <v>325</v>
      </c>
      <c r="CU750" s="301">
        <v>453633000</v>
      </c>
    </row>
    <row r="751" spans="91:99">
      <c r="CM751" s="299">
        <v>2019</v>
      </c>
      <c r="CN751" s="299">
        <v>3680</v>
      </c>
      <c r="CO751" s="300" t="s">
        <v>252</v>
      </c>
      <c r="CP751" s="299">
        <v>755</v>
      </c>
      <c r="CQ751" s="299">
        <v>88</v>
      </c>
      <c r="CR751" s="294" t="s">
        <v>339</v>
      </c>
      <c r="CS751" s="294" t="s">
        <v>341</v>
      </c>
      <c r="CT751" s="294" t="s">
        <v>342</v>
      </c>
      <c r="CU751" s="301">
        <v>807782000</v>
      </c>
    </row>
    <row r="752" spans="91:99">
      <c r="CM752" s="299">
        <v>2019</v>
      </c>
      <c r="CN752" s="299">
        <v>3680</v>
      </c>
      <c r="CO752" s="300" t="s">
        <v>252</v>
      </c>
      <c r="CP752" s="299">
        <v>755</v>
      </c>
      <c r="CQ752" s="299">
        <v>89</v>
      </c>
      <c r="CR752" s="294" t="s">
        <v>377</v>
      </c>
      <c r="CS752" s="294" t="s">
        <v>378</v>
      </c>
      <c r="CT752" s="294" t="s">
        <v>379</v>
      </c>
      <c r="CU752" s="301">
        <v>4000</v>
      </c>
    </row>
    <row r="753" spans="91:99">
      <c r="CM753" s="299">
        <v>2019</v>
      </c>
      <c r="CN753" s="299">
        <v>3680</v>
      </c>
      <c r="CO753" s="300" t="s">
        <v>252</v>
      </c>
      <c r="CP753" s="299">
        <v>755</v>
      </c>
      <c r="CQ753" s="299">
        <v>98</v>
      </c>
      <c r="CR753" s="294" t="s">
        <v>343</v>
      </c>
      <c r="CS753" s="294" t="s">
        <v>380</v>
      </c>
      <c r="CT753" s="294" t="s">
        <v>381</v>
      </c>
      <c r="CU753" s="301">
        <v>4198385000</v>
      </c>
    </row>
    <row r="754" spans="91:99">
      <c r="CM754" s="299">
        <v>2019</v>
      </c>
      <c r="CN754" s="299">
        <v>3680</v>
      </c>
      <c r="CO754" s="300" t="s">
        <v>252</v>
      </c>
      <c r="CP754" s="299">
        <v>755</v>
      </c>
      <c r="CQ754" s="299">
        <v>99</v>
      </c>
      <c r="CR754" s="294" t="s">
        <v>343</v>
      </c>
      <c r="CS754" s="294" t="s">
        <v>344</v>
      </c>
      <c r="CT754" s="294" t="s">
        <v>322</v>
      </c>
      <c r="CU754" s="301">
        <v>25388185000</v>
      </c>
    </row>
    <row r="755" spans="91:99">
      <c r="CM755" s="299">
        <v>2019</v>
      </c>
      <c r="CN755" s="299">
        <v>3680</v>
      </c>
      <c r="CO755" s="300" t="s">
        <v>252</v>
      </c>
      <c r="CP755" s="299">
        <v>755</v>
      </c>
      <c r="CQ755" s="299">
        <v>100</v>
      </c>
      <c r="CR755" s="294" t="s">
        <v>343</v>
      </c>
      <c r="CS755" s="294" t="s">
        <v>344</v>
      </c>
      <c r="CT755" s="294" t="s">
        <v>323</v>
      </c>
      <c r="CU755" s="301">
        <v>5449589000</v>
      </c>
    </row>
    <row r="756" spans="91:99">
      <c r="CM756" s="299">
        <v>2019</v>
      </c>
      <c r="CN756" s="299">
        <v>3680</v>
      </c>
      <c r="CO756" s="300" t="s">
        <v>252</v>
      </c>
      <c r="CP756" s="299">
        <v>755</v>
      </c>
      <c r="CQ756" s="299">
        <v>101</v>
      </c>
      <c r="CR756" s="294" t="s">
        <v>343</v>
      </c>
      <c r="CS756" s="294" t="s">
        <v>344</v>
      </c>
      <c r="CT756" s="294" t="s">
        <v>325</v>
      </c>
      <c r="CU756" s="301">
        <v>39905245000</v>
      </c>
    </row>
    <row r="757" spans="91:99">
      <c r="CM757" s="299">
        <v>2019</v>
      </c>
      <c r="CN757" s="299">
        <v>3680</v>
      </c>
      <c r="CO757" s="300" t="s">
        <v>252</v>
      </c>
      <c r="CP757" s="299">
        <v>755</v>
      </c>
      <c r="CQ757" s="299">
        <v>102</v>
      </c>
      <c r="CR757" s="294" t="s">
        <v>343</v>
      </c>
      <c r="CS757" s="294" t="s">
        <v>345</v>
      </c>
      <c r="CT757" s="294" t="s">
        <v>346</v>
      </c>
      <c r="CU757" s="301">
        <v>0</v>
      </c>
    </row>
    <row r="758" spans="91:99">
      <c r="CM758" s="299">
        <v>2019</v>
      </c>
      <c r="CN758" s="299">
        <v>3680</v>
      </c>
      <c r="CO758" s="300" t="s">
        <v>252</v>
      </c>
      <c r="CP758" s="299">
        <v>755</v>
      </c>
      <c r="CQ758" s="299">
        <v>103</v>
      </c>
      <c r="CR758" s="294" t="s">
        <v>343</v>
      </c>
      <c r="CS758" s="294" t="s">
        <v>347</v>
      </c>
      <c r="CT758" s="294" t="s">
        <v>348</v>
      </c>
      <c r="CU758" s="301">
        <v>428316000</v>
      </c>
    </row>
    <row r="759" spans="91:99">
      <c r="CM759" s="299">
        <v>2019</v>
      </c>
      <c r="CN759" s="299">
        <v>3680</v>
      </c>
      <c r="CO759" s="300" t="s">
        <v>252</v>
      </c>
      <c r="CP759" s="299">
        <v>755</v>
      </c>
      <c r="CQ759" s="299">
        <v>104</v>
      </c>
      <c r="CR759" s="294" t="s">
        <v>343</v>
      </c>
      <c r="CS759" s="294" t="s">
        <v>349</v>
      </c>
      <c r="CT759" s="294" t="s">
        <v>350</v>
      </c>
      <c r="CU759" s="301">
        <v>75369720000</v>
      </c>
    </row>
    <row r="760" spans="91:99">
      <c r="CM760" s="299">
        <v>2019</v>
      </c>
      <c r="CN760" s="299">
        <v>3680</v>
      </c>
      <c r="CO760" s="300" t="s">
        <v>252</v>
      </c>
      <c r="CP760" s="299">
        <v>755</v>
      </c>
      <c r="CQ760" s="299">
        <v>105</v>
      </c>
      <c r="CR760" s="294" t="s">
        <v>351</v>
      </c>
      <c r="CS760" s="294" t="s">
        <v>352</v>
      </c>
      <c r="CT760" s="294" t="s">
        <v>353</v>
      </c>
      <c r="CU760" s="301">
        <v>73625000</v>
      </c>
    </row>
    <row r="761" spans="91:99">
      <c r="CM761" s="299">
        <v>2019</v>
      </c>
      <c r="CN761" s="299">
        <v>3680</v>
      </c>
      <c r="CO761" s="300" t="s">
        <v>252</v>
      </c>
      <c r="CP761" s="299">
        <v>755</v>
      </c>
      <c r="CQ761" s="299">
        <v>106</v>
      </c>
      <c r="CR761" s="294" t="s">
        <v>351</v>
      </c>
      <c r="CS761" s="294" t="s">
        <v>354</v>
      </c>
      <c r="CT761" s="294" t="s">
        <v>355</v>
      </c>
      <c r="CU761" s="301">
        <v>767000</v>
      </c>
    </row>
    <row r="762" spans="91:99">
      <c r="CM762" s="299">
        <v>2019</v>
      </c>
      <c r="CN762" s="299">
        <v>3680</v>
      </c>
      <c r="CO762" s="300" t="s">
        <v>252</v>
      </c>
      <c r="CP762" s="299">
        <v>755</v>
      </c>
      <c r="CQ762" s="299">
        <v>107</v>
      </c>
      <c r="CR762" s="294" t="s">
        <v>351</v>
      </c>
      <c r="CS762" s="294" t="s">
        <v>356</v>
      </c>
      <c r="CT762" s="294" t="s">
        <v>357</v>
      </c>
      <c r="CU762" s="301">
        <v>74392000</v>
      </c>
    </row>
    <row r="763" spans="91:99">
      <c r="CM763" s="299">
        <v>2019</v>
      </c>
      <c r="CN763" s="299">
        <v>3680</v>
      </c>
      <c r="CO763" s="300" t="s">
        <v>252</v>
      </c>
      <c r="CP763" s="299">
        <v>755</v>
      </c>
      <c r="CQ763" s="299">
        <v>108</v>
      </c>
      <c r="CR763" s="294" t="s">
        <v>358</v>
      </c>
      <c r="CS763" s="294" t="s">
        <v>359</v>
      </c>
      <c r="CT763" s="294" t="s">
        <v>360</v>
      </c>
      <c r="CU763" s="301">
        <v>37543600000</v>
      </c>
    </row>
    <row r="764" spans="91:99">
      <c r="CM764" s="299">
        <v>2019</v>
      </c>
      <c r="CN764" s="299">
        <v>3680</v>
      </c>
      <c r="CO764" s="300" t="s">
        <v>252</v>
      </c>
      <c r="CP764" s="299">
        <v>755</v>
      </c>
      <c r="CQ764" s="299">
        <v>109</v>
      </c>
      <c r="CR764" s="294" t="s">
        <v>358</v>
      </c>
      <c r="CS764" s="294" t="s">
        <v>359</v>
      </c>
      <c r="CT764" s="294" t="s">
        <v>361</v>
      </c>
      <c r="CU764" s="301">
        <v>0</v>
      </c>
    </row>
    <row r="765" spans="91:99">
      <c r="CM765" s="299">
        <v>2019</v>
      </c>
      <c r="CN765" s="299">
        <v>3680</v>
      </c>
      <c r="CO765" s="300" t="s">
        <v>252</v>
      </c>
      <c r="CP765" s="299">
        <v>755</v>
      </c>
      <c r="CQ765" s="299">
        <v>110</v>
      </c>
      <c r="CR765" s="294" t="s">
        <v>358</v>
      </c>
      <c r="CS765" s="294" t="s">
        <v>359</v>
      </c>
      <c r="CT765" s="294" t="s">
        <v>362</v>
      </c>
      <c r="CU765" s="301">
        <v>37543600000</v>
      </c>
    </row>
    <row r="766" spans="91:99">
      <c r="CM766" s="299">
        <v>2019</v>
      </c>
      <c r="CN766" s="299">
        <v>3680</v>
      </c>
      <c r="CO766" s="300" t="s">
        <v>252</v>
      </c>
      <c r="CP766" s="299">
        <v>755</v>
      </c>
      <c r="CQ766" s="299">
        <v>111</v>
      </c>
      <c r="CR766" s="294" t="s">
        <v>358</v>
      </c>
      <c r="CS766" s="294" t="s">
        <v>363</v>
      </c>
      <c r="CT766" s="294" t="s">
        <v>364</v>
      </c>
      <c r="CU766" s="301">
        <v>218979000</v>
      </c>
    </row>
    <row r="767" spans="91:99">
      <c r="CM767" s="299">
        <v>2019</v>
      </c>
      <c r="CN767" s="299">
        <v>3680</v>
      </c>
      <c r="CO767" s="300" t="s">
        <v>252</v>
      </c>
      <c r="CP767" s="299">
        <v>755</v>
      </c>
      <c r="CQ767" s="299">
        <v>112</v>
      </c>
      <c r="CR767" s="294" t="s">
        <v>358</v>
      </c>
      <c r="CS767" s="294" t="s">
        <v>363</v>
      </c>
      <c r="CT767" s="294" t="s">
        <v>365</v>
      </c>
      <c r="CU767" s="301">
        <v>0</v>
      </c>
    </row>
    <row r="768" spans="91:99">
      <c r="CM768" s="299">
        <v>2019</v>
      </c>
      <c r="CN768" s="299">
        <v>3680</v>
      </c>
      <c r="CO768" s="300" t="s">
        <v>252</v>
      </c>
      <c r="CP768" s="299">
        <v>755</v>
      </c>
      <c r="CQ768" s="299">
        <v>113</v>
      </c>
      <c r="CR768" s="294" t="s">
        <v>358</v>
      </c>
      <c r="CS768" s="294" t="s">
        <v>363</v>
      </c>
      <c r="CT768" s="294" t="s">
        <v>366</v>
      </c>
      <c r="CU768" s="301">
        <v>218979000</v>
      </c>
    </row>
    <row r="769" spans="91:99">
      <c r="CM769" s="299">
        <v>2019</v>
      </c>
      <c r="CN769" s="299">
        <v>3680</v>
      </c>
      <c r="CO769" s="300" t="s">
        <v>252</v>
      </c>
      <c r="CP769" s="299">
        <v>755</v>
      </c>
      <c r="CQ769" s="299">
        <v>114</v>
      </c>
      <c r="CR769" s="294" t="s">
        <v>358</v>
      </c>
      <c r="CS769" s="294" t="s">
        <v>367</v>
      </c>
      <c r="CT769" s="294" t="s">
        <v>368</v>
      </c>
      <c r="CU769" s="301">
        <v>37762579000</v>
      </c>
    </row>
    <row r="770" spans="91:99">
      <c r="CM770" s="299">
        <v>2019</v>
      </c>
      <c r="CN770" s="299">
        <v>3680</v>
      </c>
      <c r="CO770" s="300" t="s">
        <v>252</v>
      </c>
      <c r="CP770" s="299">
        <v>755</v>
      </c>
      <c r="CQ770" s="299">
        <v>115</v>
      </c>
      <c r="CR770" s="294" t="s">
        <v>369</v>
      </c>
      <c r="CS770" s="294" t="s">
        <v>370</v>
      </c>
      <c r="CT770" s="294" t="s">
        <v>371</v>
      </c>
      <c r="CU770" s="301">
        <v>442137</v>
      </c>
    </row>
    <row r="771" spans="91:99">
      <c r="CM771" s="299">
        <v>2019</v>
      </c>
      <c r="CN771" s="299">
        <v>3680</v>
      </c>
      <c r="CO771" s="300" t="s">
        <v>252</v>
      </c>
      <c r="CP771" s="299">
        <v>755</v>
      </c>
      <c r="CQ771" s="299">
        <v>116</v>
      </c>
      <c r="CR771" s="294" t="s">
        <v>369</v>
      </c>
      <c r="CS771" s="294" t="s">
        <v>372</v>
      </c>
      <c r="CT771" s="294" t="s">
        <v>373</v>
      </c>
      <c r="CU771" s="301">
        <v>141983</v>
      </c>
    </row>
    <row r="772" spans="91:99">
      <c r="CM772" s="299">
        <v>2019</v>
      </c>
      <c r="CN772" s="299">
        <v>3680</v>
      </c>
      <c r="CO772" s="300" t="s">
        <v>252</v>
      </c>
      <c r="CP772" s="299">
        <v>755</v>
      </c>
      <c r="CQ772" s="299">
        <v>117</v>
      </c>
      <c r="CR772" s="294" t="s">
        <v>374</v>
      </c>
      <c r="CS772" s="294" t="s">
        <v>375</v>
      </c>
      <c r="CT772" s="294" t="s">
        <v>376</v>
      </c>
      <c r="CU772" s="301">
        <v>107937</v>
      </c>
    </row>
    <row r="773" spans="91:99">
      <c r="CM773" s="299">
        <v>2019</v>
      </c>
      <c r="CN773" s="299">
        <v>3680</v>
      </c>
      <c r="CO773" s="300" t="s">
        <v>252</v>
      </c>
      <c r="CP773" s="299">
        <v>755</v>
      </c>
      <c r="CQ773" s="299">
        <v>118</v>
      </c>
      <c r="CR773" s="294" t="s">
        <v>417</v>
      </c>
      <c r="CS773" s="294" t="s">
        <v>418</v>
      </c>
      <c r="CT773" s="294" t="s">
        <v>419</v>
      </c>
      <c r="CU773" s="301">
        <v>60491</v>
      </c>
    </row>
    <row r="774" spans="91:99">
      <c r="CM774" s="299">
        <v>2019</v>
      </c>
      <c r="CN774" s="299">
        <v>3680</v>
      </c>
      <c r="CO774" s="300" t="s">
        <v>252</v>
      </c>
      <c r="CP774" s="299">
        <v>755</v>
      </c>
      <c r="CQ774" s="299">
        <v>119</v>
      </c>
      <c r="CR774" s="294" t="s">
        <v>417</v>
      </c>
      <c r="CS774" s="294" t="s">
        <v>418</v>
      </c>
      <c r="CT774" s="294" t="s">
        <v>420</v>
      </c>
      <c r="CU774" s="301">
        <v>0</v>
      </c>
    </row>
    <row r="775" spans="91:99">
      <c r="CM775" s="299">
        <v>2019</v>
      </c>
      <c r="CN775" s="299">
        <v>3680</v>
      </c>
      <c r="CO775" s="300" t="s">
        <v>252</v>
      </c>
      <c r="CP775" s="299">
        <v>755</v>
      </c>
      <c r="CQ775" s="299">
        <v>120</v>
      </c>
      <c r="CR775" s="294" t="s">
        <v>421</v>
      </c>
      <c r="CS775" s="294" t="s">
        <v>422</v>
      </c>
      <c r="CT775" s="294" t="s">
        <v>322</v>
      </c>
      <c r="CU775" s="301">
        <v>456953</v>
      </c>
    </row>
    <row r="776" spans="91:99">
      <c r="CM776" s="299">
        <v>2019</v>
      </c>
      <c r="CN776" s="299">
        <v>3680</v>
      </c>
      <c r="CO776" s="300" t="s">
        <v>252</v>
      </c>
      <c r="CP776" s="299">
        <v>755</v>
      </c>
      <c r="CQ776" s="299">
        <v>121</v>
      </c>
      <c r="CR776" s="294" t="s">
        <v>421</v>
      </c>
      <c r="CS776" s="294" t="s">
        <v>422</v>
      </c>
      <c r="CT776" s="294" t="s">
        <v>323</v>
      </c>
      <c r="CU776" s="301">
        <v>774934</v>
      </c>
    </row>
    <row r="777" spans="91:99">
      <c r="CM777" s="299">
        <v>2019</v>
      </c>
      <c r="CN777" s="299">
        <v>3680</v>
      </c>
      <c r="CO777" s="300" t="s">
        <v>252</v>
      </c>
      <c r="CP777" s="299">
        <v>755</v>
      </c>
      <c r="CQ777" s="299">
        <v>122</v>
      </c>
      <c r="CR777" s="294" t="s">
        <v>421</v>
      </c>
      <c r="CS777" s="294" t="s">
        <v>422</v>
      </c>
      <c r="CT777" s="294" t="s">
        <v>325</v>
      </c>
      <c r="CU777" s="301">
        <v>885889</v>
      </c>
    </row>
    <row r="778" spans="91:99">
      <c r="CM778" s="299">
        <v>2019</v>
      </c>
      <c r="CN778" s="299">
        <v>3680</v>
      </c>
      <c r="CO778" s="300" t="s">
        <v>252</v>
      </c>
      <c r="CP778" s="299">
        <v>755</v>
      </c>
      <c r="CQ778" s="299">
        <v>123</v>
      </c>
      <c r="CR778" s="294" t="s">
        <v>423</v>
      </c>
      <c r="CS778" s="294" t="s">
        <v>424</v>
      </c>
      <c r="CT778" s="294" t="s">
        <v>425</v>
      </c>
      <c r="CU778" s="301">
        <v>433804</v>
      </c>
    </row>
    <row r="779" spans="91:99">
      <c r="CM779" s="299">
        <v>2019</v>
      </c>
      <c r="CN779" s="299">
        <v>3680</v>
      </c>
      <c r="CO779" s="300" t="s">
        <v>252</v>
      </c>
      <c r="CP779" s="299">
        <v>755</v>
      </c>
      <c r="CQ779" s="299">
        <v>124</v>
      </c>
      <c r="CR779" s="294" t="s">
        <v>426</v>
      </c>
      <c r="CS779" s="294" t="s">
        <v>427</v>
      </c>
      <c r="CT779" s="294" t="s">
        <v>428</v>
      </c>
      <c r="CU779" s="301">
        <v>139829</v>
      </c>
    </row>
    <row r="780" spans="91:99">
      <c r="CM780" s="299">
        <v>2019</v>
      </c>
      <c r="CN780" s="299">
        <v>3680</v>
      </c>
      <c r="CO780" s="300" t="s">
        <v>252</v>
      </c>
      <c r="CP780" s="299">
        <v>755</v>
      </c>
      <c r="CQ780" s="299">
        <v>125</v>
      </c>
      <c r="CR780" s="294" t="s">
        <v>429</v>
      </c>
      <c r="CS780" s="294" t="s">
        <v>430</v>
      </c>
      <c r="CT780" s="294" t="s">
        <v>431</v>
      </c>
      <c r="CU780" s="301">
        <v>0</v>
      </c>
    </row>
    <row r="781" spans="91:99">
      <c r="CM781" s="299">
        <v>2019</v>
      </c>
      <c r="CN781" s="299">
        <v>3680</v>
      </c>
      <c r="CO781" s="300" t="s">
        <v>252</v>
      </c>
      <c r="CP781" s="299">
        <v>755</v>
      </c>
      <c r="CQ781" s="299">
        <v>126</v>
      </c>
      <c r="CR781" s="294" t="s">
        <v>432</v>
      </c>
      <c r="CS781" s="294" t="s">
        <v>433</v>
      </c>
      <c r="CT781" s="294" t="s">
        <v>434</v>
      </c>
      <c r="CU781" s="301">
        <v>0</v>
      </c>
    </row>
    <row r="782" spans="91:99">
      <c r="CM782" s="299">
        <v>2019</v>
      </c>
      <c r="CN782" s="299">
        <v>3680</v>
      </c>
      <c r="CO782" s="300" t="s">
        <v>252</v>
      </c>
      <c r="CP782" s="299">
        <v>755</v>
      </c>
      <c r="CQ782" s="299">
        <v>127</v>
      </c>
      <c r="CR782" s="294" t="s">
        <v>432</v>
      </c>
      <c r="CS782" s="294" t="s">
        <v>433</v>
      </c>
      <c r="CT782" s="294" t="s">
        <v>435</v>
      </c>
      <c r="CU782" s="301">
        <v>0</v>
      </c>
    </row>
    <row r="783" spans="91:99">
      <c r="CM783" s="299">
        <v>2019</v>
      </c>
      <c r="CN783" s="299">
        <v>3680</v>
      </c>
      <c r="CO783" s="300" t="s">
        <v>252</v>
      </c>
      <c r="CP783" s="299">
        <v>755</v>
      </c>
      <c r="CQ783" s="299">
        <v>128</v>
      </c>
      <c r="CR783" s="294" t="s">
        <v>432</v>
      </c>
      <c r="CS783" s="294" t="s">
        <v>433</v>
      </c>
      <c r="CT783" s="294" t="s">
        <v>158</v>
      </c>
      <c r="CU783" s="301">
        <v>0</v>
      </c>
    </row>
    <row r="784" spans="91:99">
      <c r="CM784" s="299">
        <v>2019</v>
      </c>
      <c r="CN784" s="299">
        <v>3680</v>
      </c>
      <c r="CO784" s="300" t="s">
        <v>252</v>
      </c>
      <c r="CP784" s="299">
        <v>755</v>
      </c>
      <c r="CQ784" s="299">
        <v>129</v>
      </c>
      <c r="CR784" s="294" t="s">
        <v>432</v>
      </c>
      <c r="CS784" s="294" t="s">
        <v>433</v>
      </c>
      <c r="CT784" s="294" t="s">
        <v>436</v>
      </c>
      <c r="CU784" s="301">
        <v>0</v>
      </c>
    </row>
    <row r="785" spans="91:99">
      <c r="CM785" s="299">
        <v>2019</v>
      </c>
      <c r="CN785" s="299">
        <v>3680</v>
      </c>
      <c r="CO785" s="300" t="s">
        <v>252</v>
      </c>
      <c r="CP785" s="299">
        <v>755</v>
      </c>
      <c r="CQ785" s="299">
        <v>130</v>
      </c>
      <c r="CR785" s="294" t="s">
        <v>437</v>
      </c>
      <c r="CS785" s="294" t="s">
        <v>438</v>
      </c>
      <c r="CT785" s="294" t="s">
        <v>439</v>
      </c>
      <c r="CU785" s="301">
        <v>1147</v>
      </c>
    </row>
    <row r="786" spans="91:99">
      <c r="CM786" s="299">
        <v>2019</v>
      </c>
      <c r="CN786" s="299">
        <v>3680</v>
      </c>
      <c r="CO786" s="300" t="s">
        <v>252</v>
      </c>
      <c r="CP786" s="299">
        <v>755</v>
      </c>
      <c r="CQ786" s="299">
        <v>131</v>
      </c>
      <c r="CR786" s="294" t="s">
        <v>437</v>
      </c>
      <c r="CS786" s="294" t="s">
        <v>438</v>
      </c>
      <c r="CT786" s="294" t="s">
        <v>440</v>
      </c>
      <c r="CU786" s="301">
        <v>183</v>
      </c>
    </row>
    <row r="787" spans="91:99">
      <c r="CM787" s="299">
        <v>2019</v>
      </c>
      <c r="CN787" s="299">
        <v>3680</v>
      </c>
      <c r="CO787" s="300" t="s">
        <v>252</v>
      </c>
      <c r="CP787" s="299">
        <v>755</v>
      </c>
      <c r="CQ787" s="299">
        <v>132</v>
      </c>
      <c r="CR787" s="294" t="s">
        <v>437</v>
      </c>
      <c r="CS787" s="294" t="s">
        <v>441</v>
      </c>
      <c r="CT787" s="294" t="s">
        <v>442</v>
      </c>
      <c r="CU787" s="301">
        <v>0</v>
      </c>
    </row>
    <row r="788" spans="91:99">
      <c r="CM788" s="299">
        <v>2019</v>
      </c>
      <c r="CN788" s="299">
        <v>3680</v>
      </c>
      <c r="CO788" s="300" t="s">
        <v>252</v>
      </c>
      <c r="CP788" s="299">
        <v>755</v>
      </c>
      <c r="CQ788" s="299">
        <v>133</v>
      </c>
      <c r="CR788" s="294" t="s">
        <v>437</v>
      </c>
      <c r="CS788" s="294" t="s">
        <v>443</v>
      </c>
      <c r="CT788" s="294" t="s">
        <v>444</v>
      </c>
      <c r="CU788" s="301">
        <v>1330</v>
      </c>
    </row>
    <row r="789" spans="91:99">
      <c r="CM789" s="299">
        <v>2019</v>
      </c>
      <c r="CN789" s="299">
        <v>3680</v>
      </c>
      <c r="CO789" s="300" t="s">
        <v>252</v>
      </c>
      <c r="CP789" s="299">
        <v>755</v>
      </c>
      <c r="CQ789" s="299">
        <v>134</v>
      </c>
      <c r="CR789" s="294" t="s">
        <v>445</v>
      </c>
      <c r="CS789" s="294" t="s">
        <v>446</v>
      </c>
      <c r="CT789" s="294" t="s">
        <v>447</v>
      </c>
      <c r="CU789" s="301">
        <v>501</v>
      </c>
    </row>
    <row r="790" spans="91:99">
      <c r="CM790" s="299">
        <v>2019</v>
      </c>
      <c r="CN790" s="299">
        <v>3740</v>
      </c>
      <c r="CO790" s="300" t="s">
        <v>244</v>
      </c>
      <c r="CP790" s="299">
        <v>755</v>
      </c>
      <c r="CQ790" s="299">
        <v>1</v>
      </c>
      <c r="CR790" s="294" t="s">
        <v>382</v>
      </c>
      <c r="CS790" s="294" t="s">
        <v>383</v>
      </c>
      <c r="CT790" s="294" t="s">
        <v>384</v>
      </c>
      <c r="CU790" s="301">
        <v>32340</v>
      </c>
    </row>
    <row r="791" spans="91:99">
      <c r="CM791" s="299">
        <v>2019</v>
      </c>
      <c r="CN791" s="299">
        <v>3740</v>
      </c>
      <c r="CO791" s="300" t="s">
        <v>244</v>
      </c>
      <c r="CP791" s="299">
        <v>755</v>
      </c>
      <c r="CQ791" s="299">
        <v>2</v>
      </c>
      <c r="CR791" s="294" t="s">
        <v>320</v>
      </c>
      <c r="CS791" s="294" t="s">
        <v>321</v>
      </c>
      <c r="CT791" s="294" t="s">
        <v>322</v>
      </c>
      <c r="CU791" s="301">
        <v>25074031</v>
      </c>
    </row>
    <row r="792" spans="91:99">
      <c r="CM792" s="299">
        <v>2019</v>
      </c>
      <c r="CN792" s="299">
        <v>3740</v>
      </c>
      <c r="CO792" s="300" t="s">
        <v>244</v>
      </c>
      <c r="CP792" s="299">
        <v>755</v>
      </c>
      <c r="CQ792" s="299">
        <v>3</v>
      </c>
      <c r="CR792" s="294" t="s">
        <v>320</v>
      </c>
      <c r="CS792" s="294" t="s">
        <v>321</v>
      </c>
      <c r="CT792" s="294" t="s">
        <v>323</v>
      </c>
      <c r="CU792" s="301">
        <v>7237074</v>
      </c>
    </row>
    <row r="793" spans="91:99">
      <c r="CM793" s="299">
        <v>2019</v>
      </c>
      <c r="CN793" s="299">
        <v>3740</v>
      </c>
      <c r="CO793" s="300" t="s">
        <v>244</v>
      </c>
      <c r="CP793" s="299">
        <v>755</v>
      </c>
      <c r="CQ793" s="299">
        <v>4</v>
      </c>
      <c r="CR793" s="294" t="s">
        <v>320</v>
      </c>
      <c r="CS793" s="294" t="s">
        <v>324</v>
      </c>
      <c r="CT793" s="294" t="s">
        <v>325</v>
      </c>
      <c r="CU793" s="301">
        <v>82901168</v>
      </c>
    </row>
    <row r="794" spans="91:99">
      <c r="CM794" s="299">
        <v>2019</v>
      </c>
      <c r="CN794" s="299">
        <v>3740</v>
      </c>
      <c r="CO794" s="300" t="s">
        <v>244</v>
      </c>
      <c r="CP794" s="299">
        <v>755</v>
      </c>
      <c r="CQ794" s="299">
        <v>5</v>
      </c>
      <c r="CR794" s="294" t="s">
        <v>320</v>
      </c>
      <c r="CS794" s="294" t="s">
        <v>324</v>
      </c>
      <c r="CT794" s="294" t="s">
        <v>326</v>
      </c>
      <c r="CU794" s="301">
        <v>115212273</v>
      </c>
    </row>
    <row r="795" spans="91:99">
      <c r="CM795" s="299">
        <v>2019</v>
      </c>
      <c r="CN795" s="299">
        <v>3740</v>
      </c>
      <c r="CO795" s="300" t="s">
        <v>244</v>
      </c>
      <c r="CP795" s="299">
        <v>755</v>
      </c>
      <c r="CQ795" s="299">
        <v>6</v>
      </c>
      <c r="CR795" s="294" t="s">
        <v>320</v>
      </c>
      <c r="CS795" s="294" t="s">
        <v>327</v>
      </c>
      <c r="CT795" s="294" t="s">
        <v>328</v>
      </c>
      <c r="CU795" s="301">
        <v>0</v>
      </c>
    </row>
    <row r="796" spans="91:99">
      <c r="CM796" s="299">
        <v>2019</v>
      </c>
      <c r="CN796" s="299">
        <v>3740</v>
      </c>
      <c r="CO796" s="300" t="s">
        <v>244</v>
      </c>
      <c r="CP796" s="299">
        <v>755</v>
      </c>
      <c r="CQ796" s="299">
        <v>7</v>
      </c>
      <c r="CR796" s="294" t="s">
        <v>320</v>
      </c>
      <c r="CS796" s="294" t="s">
        <v>324</v>
      </c>
      <c r="CT796" s="294" t="s">
        <v>329</v>
      </c>
      <c r="CU796" s="301">
        <v>115212273</v>
      </c>
    </row>
    <row r="797" spans="91:99">
      <c r="CM797" s="299">
        <v>2019</v>
      </c>
      <c r="CN797" s="299">
        <v>3740</v>
      </c>
      <c r="CO797" s="300" t="s">
        <v>244</v>
      </c>
      <c r="CP797" s="299">
        <v>755</v>
      </c>
      <c r="CQ797" s="299">
        <v>8</v>
      </c>
      <c r="CR797" s="294" t="s">
        <v>330</v>
      </c>
      <c r="CS797" s="294" t="s">
        <v>331</v>
      </c>
      <c r="CT797" s="294" t="s">
        <v>322</v>
      </c>
      <c r="CU797" s="301">
        <v>81299661</v>
      </c>
    </row>
    <row r="798" spans="91:99">
      <c r="CM798" s="299">
        <v>2019</v>
      </c>
      <c r="CN798" s="299">
        <v>3740</v>
      </c>
      <c r="CO798" s="300" t="s">
        <v>244</v>
      </c>
      <c r="CP798" s="299">
        <v>755</v>
      </c>
      <c r="CQ798" s="299">
        <v>9</v>
      </c>
      <c r="CR798" s="294" t="s">
        <v>330</v>
      </c>
      <c r="CS798" s="294" t="s">
        <v>331</v>
      </c>
      <c r="CT798" s="294" t="s">
        <v>323</v>
      </c>
      <c r="CU798" s="301">
        <v>14769431</v>
      </c>
    </row>
    <row r="799" spans="91:99">
      <c r="CM799" s="299">
        <v>2019</v>
      </c>
      <c r="CN799" s="299">
        <v>3740</v>
      </c>
      <c r="CO799" s="300" t="s">
        <v>244</v>
      </c>
      <c r="CP799" s="299">
        <v>755</v>
      </c>
      <c r="CQ799" s="299">
        <v>10</v>
      </c>
      <c r="CR799" s="294" t="s">
        <v>330</v>
      </c>
      <c r="CS799" s="294" t="s">
        <v>332</v>
      </c>
      <c r="CT799" s="294" t="s">
        <v>325</v>
      </c>
      <c r="CU799" s="301">
        <v>256659694</v>
      </c>
    </row>
    <row r="800" spans="91:99">
      <c r="CM800" s="299">
        <v>2019</v>
      </c>
      <c r="CN800" s="299">
        <v>3740</v>
      </c>
      <c r="CO800" s="300" t="s">
        <v>244</v>
      </c>
      <c r="CP800" s="299">
        <v>755</v>
      </c>
      <c r="CQ800" s="299">
        <v>11</v>
      </c>
      <c r="CR800" s="294" t="s">
        <v>330</v>
      </c>
      <c r="CS800" s="294" t="s">
        <v>332</v>
      </c>
      <c r="CT800" s="294" t="s">
        <v>333</v>
      </c>
      <c r="CU800" s="301">
        <v>352728786</v>
      </c>
    </row>
    <row r="801" spans="91:99">
      <c r="CM801" s="299">
        <v>2019</v>
      </c>
      <c r="CN801" s="299">
        <v>3740</v>
      </c>
      <c r="CO801" s="300" t="s">
        <v>244</v>
      </c>
      <c r="CP801" s="299">
        <v>755</v>
      </c>
      <c r="CQ801" s="299">
        <v>12</v>
      </c>
      <c r="CR801" s="294" t="s">
        <v>330</v>
      </c>
      <c r="CS801" s="294" t="s">
        <v>334</v>
      </c>
      <c r="CT801" s="294" t="s">
        <v>335</v>
      </c>
      <c r="CU801" s="301">
        <v>8554649</v>
      </c>
    </row>
    <row r="802" spans="91:99">
      <c r="CM802" s="299">
        <v>2019</v>
      </c>
      <c r="CN802" s="299">
        <v>3740</v>
      </c>
      <c r="CO802" s="300" t="s">
        <v>244</v>
      </c>
      <c r="CP802" s="299">
        <v>755</v>
      </c>
      <c r="CQ802" s="299">
        <v>13</v>
      </c>
      <c r="CR802" s="294" t="s">
        <v>330</v>
      </c>
      <c r="CS802" s="294" t="s">
        <v>336</v>
      </c>
      <c r="CT802" s="294" t="s">
        <v>308</v>
      </c>
      <c r="CU802" s="301">
        <v>24883450</v>
      </c>
    </row>
    <row r="803" spans="91:99">
      <c r="CM803" s="299">
        <v>2019</v>
      </c>
      <c r="CN803" s="299">
        <v>3740</v>
      </c>
      <c r="CO803" s="300" t="s">
        <v>244</v>
      </c>
      <c r="CP803" s="299">
        <v>755</v>
      </c>
      <c r="CQ803" s="299">
        <v>14</v>
      </c>
      <c r="CR803" s="294" t="s">
        <v>330</v>
      </c>
      <c r="CS803" s="294" t="s">
        <v>337</v>
      </c>
      <c r="CT803" s="294" t="s">
        <v>338</v>
      </c>
      <c r="CU803" s="301">
        <v>386166885</v>
      </c>
    </row>
    <row r="804" spans="91:99">
      <c r="CM804" s="299">
        <v>2019</v>
      </c>
      <c r="CN804" s="299">
        <v>3740</v>
      </c>
      <c r="CO804" s="300" t="s">
        <v>244</v>
      </c>
      <c r="CP804" s="299">
        <v>755</v>
      </c>
      <c r="CQ804" s="299">
        <v>15</v>
      </c>
      <c r="CR804" s="294" t="s">
        <v>385</v>
      </c>
      <c r="CS804" s="294" t="s">
        <v>386</v>
      </c>
      <c r="CT804" s="294" t="s">
        <v>387</v>
      </c>
      <c r="CU804" s="301">
        <v>0</v>
      </c>
    </row>
    <row r="805" spans="91:99">
      <c r="CM805" s="299">
        <v>2019</v>
      </c>
      <c r="CN805" s="299">
        <v>3740</v>
      </c>
      <c r="CO805" s="300" t="s">
        <v>244</v>
      </c>
      <c r="CP805" s="299">
        <v>755</v>
      </c>
      <c r="CQ805" s="299">
        <v>16</v>
      </c>
      <c r="CR805" s="294" t="s">
        <v>385</v>
      </c>
      <c r="CS805" s="294" t="s">
        <v>386</v>
      </c>
      <c r="CT805" s="294" t="s">
        <v>388</v>
      </c>
      <c r="CU805" s="301">
        <v>14774000</v>
      </c>
    </row>
    <row r="806" spans="91:99">
      <c r="CM806" s="299">
        <v>2019</v>
      </c>
      <c r="CN806" s="299">
        <v>3740</v>
      </c>
      <c r="CO806" s="300" t="s">
        <v>244</v>
      </c>
      <c r="CP806" s="299">
        <v>755</v>
      </c>
      <c r="CQ806" s="299">
        <v>17</v>
      </c>
      <c r="CR806" s="294" t="s">
        <v>385</v>
      </c>
      <c r="CS806" s="294" t="s">
        <v>386</v>
      </c>
      <c r="CT806" s="294" t="s">
        <v>389</v>
      </c>
      <c r="CU806" s="301">
        <v>190431000</v>
      </c>
    </row>
    <row r="807" spans="91:99">
      <c r="CM807" s="299">
        <v>2019</v>
      </c>
      <c r="CN807" s="299">
        <v>3740</v>
      </c>
      <c r="CO807" s="300" t="s">
        <v>244</v>
      </c>
      <c r="CP807" s="299">
        <v>755</v>
      </c>
      <c r="CQ807" s="299">
        <v>18</v>
      </c>
      <c r="CR807" s="294" t="s">
        <v>385</v>
      </c>
      <c r="CS807" s="294" t="s">
        <v>386</v>
      </c>
      <c r="CT807" s="294" t="s">
        <v>390</v>
      </c>
      <c r="CU807" s="301">
        <v>65785000</v>
      </c>
    </row>
    <row r="808" spans="91:99">
      <c r="CM808" s="299">
        <v>2019</v>
      </c>
      <c r="CN808" s="299">
        <v>3740</v>
      </c>
      <c r="CO808" s="300" t="s">
        <v>244</v>
      </c>
      <c r="CP808" s="299">
        <v>755</v>
      </c>
      <c r="CQ808" s="299">
        <v>19</v>
      </c>
      <c r="CR808" s="294" t="s">
        <v>385</v>
      </c>
      <c r="CS808" s="294" t="s">
        <v>386</v>
      </c>
      <c r="CT808" s="294" t="s">
        <v>391</v>
      </c>
      <c r="CU808" s="301">
        <v>71357000</v>
      </c>
    </row>
    <row r="809" spans="91:99">
      <c r="CM809" s="299">
        <v>2019</v>
      </c>
      <c r="CN809" s="299">
        <v>3740</v>
      </c>
      <c r="CO809" s="300" t="s">
        <v>244</v>
      </c>
      <c r="CP809" s="299">
        <v>755</v>
      </c>
      <c r="CQ809" s="299">
        <v>20</v>
      </c>
      <c r="CR809" s="294" t="s">
        <v>385</v>
      </c>
      <c r="CS809" s="294" t="s">
        <v>386</v>
      </c>
      <c r="CT809" s="294" t="s">
        <v>392</v>
      </c>
      <c r="CU809" s="301">
        <v>356162000</v>
      </c>
    </row>
    <row r="810" spans="91:99">
      <c r="CM810" s="299">
        <v>2019</v>
      </c>
      <c r="CN810" s="299">
        <v>3740</v>
      </c>
      <c r="CO810" s="300" t="s">
        <v>244</v>
      </c>
      <c r="CP810" s="299">
        <v>755</v>
      </c>
      <c r="CQ810" s="299">
        <v>21</v>
      </c>
      <c r="CR810" s="294" t="s">
        <v>385</v>
      </c>
      <c r="CS810" s="294" t="s">
        <v>386</v>
      </c>
      <c r="CT810" s="294" t="s">
        <v>393</v>
      </c>
      <c r="CU810" s="301">
        <v>55802000</v>
      </c>
    </row>
    <row r="811" spans="91:99">
      <c r="CM811" s="299">
        <v>2019</v>
      </c>
      <c r="CN811" s="299">
        <v>3740</v>
      </c>
      <c r="CO811" s="300" t="s">
        <v>244</v>
      </c>
      <c r="CP811" s="299">
        <v>755</v>
      </c>
      <c r="CQ811" s="299">
        <v>22</v>
      </c>
      <c r="CR811" s="294" t="s">
        <v>385</v>
      </c>
      <c r="CS811" s="294" t="s">
        <v>386</v>
      </c>
      <c r="CT811" s="294" t="s">
        <v>394</v>
      </c>
      <c r="CU811" s="301">
        <v>40655000</v>
      </c>
    </row>
    <row r="812" spans="91:99">
      <c r="CM812" s="299">
        <v>2019</v>
      </c>
      <c r="CN812" s="299">
        <v>3740</v>
      </c>
      <c r="CO812" s="300" t="s">
        <v>244</v>
      </c>
      <c r="CP812" s="299">
        <v>755</v>
      </c>
      <c r="CQ812" s="299">
        <v>23</v>
      </c>
      <c r="CR812" s="294" t="s">
        <v>385</v>
      </c>
      <c r="CS812" s="294" t="s">
        <v>386</v>
      </c>
      <c r="CT812" s="294" t="s">
        <v>395</v>
      </c>
      <c r="CU812" s="301">
        <v>52722000</v>
      </c>
    </row>
    <row r="813" spans="91:99">
      <c r="CM813" s="299">
        <v>2019</v>
      </c>
      <c r="CN813" s="299">
        <v>3740</v>
      </c>
      <c r="CO813" s="300" t="s">
        <v>244</v>
      </c>
      <c r="CP813" s="299">
        <v>755</v>
      </c>
      <c r="CQ813" s="299">
        <v>24</v>
      </c>
      <c r="CR813" s="294" t="s">
        <v>385</v>
      </c>
      <c r="CS813" s="294" t="s">
        <v>386</v>
      </c>
      <c r="CT813" s="294" t="s">
        <v>396</v>
      </c>
      <c r="CU813" s="301">
        <v>8478000</v>
      </c>
    </row>
    <row r="814" spans="91:99">
      <c r="CM814" s="299">
        <v>2019</v>
      </c>
      <c r="CN814" s="299">
        <v>3740</v>
      </c>
      <c r="CO814" s="300" t="s">
        <v>244</v>
      </c>
      <c r="CP814" s="299">
        <v>755</v>
      </c>
      <c r="CQ814" s="299">
        <v>25</v>
      </c>
      <c r="CR814" s="294" t="s">
        <v>385</v>
      </c>
      <c r="CS814" s="294" t="s">
        <v>386</v>
      </c>
      <c r="CT814" s="294" t="s">
        <v>397</v>
      </c>
      <c r="CU814" s="301">
        <v>268380000</v>
      </c>
    </row>
    <row r="815" spans="91:99">
      <c r="CM815" s="299">
        <v>2019</v>
      </c>
      <c r="CN815" s="299">
        <v>3740</v>
      </c>
      <c r="CO815" s="300" t="s">
        <v>244</v>
      </c>
      <c r="CP815" s="299">
        <v>755</v>
      </c>
      <c r="CQ815" s="299">
        <v>26</v>
      </c>
      <c r="CR815" s="294" t="s">
        <v>385</v>
      </c>
      <c r="CS815" s="294" t="s">
        <v>386</v>
      </c>
      <c r="CT815" s="294" t="s">
        <v>398</v>
      </c>
      <c r="CU815" s="301">
        <v>78449000</v>
      </c>
    </row>
    <row r="816" spans="91:99">
      <c r="CM816" s="299">
        <v>2019</v>
      </c>
      <c r="CN816" s="299">
        <v>3740</v>
      </c>
      <c r="CO816" s="300" t="s">
        <v>244</v>
      </c>
      <c r="CP816" s="299">
        <v>755</v>
      </c>
      <c r="CQ816" s="299">
        <v>27</v>
      </c>
      <c r="CR816" s="294" t="s">
        <v>385</v>
      </c>
      <c r="CS816" s="294" t="s">
        <v>386</v>
      </c>
      <c r="CT816" s="294" t="s">
        <v>399</v>
      </c>
      <c r="CU816" s="301">
        <v>213000</v>
      </c>
    </row>
    <row r="817" spans="91:99">
      <c r="CM817" s="299">
        <v>2019</v>
      </c>
      <c r="CN817" s="299">
        <v>3740</v>
      </c>
      <c r="CO817" s="300" t="s">
        <v>244</v>
      </c>
      <c r="CP817" s="299">
        <v>755</v>
      </c>
      <c r="CQ817" s="299">
        <v>28</v>
      </c>
      <c r="CR817" s="294" t="s">
        <v>385</v>
      </c>
      <c r="CS817" s="294" t="s">
        <v>386</v>
      </c>
      <c r="CT817" s="294" t="s">
        <v>400</v>
      </c>
      <c r="CU817" s="301">
        <v>77014000</v>
      </c>
    </row>
    <row r="818" spans="91:99">
      <c r="CM818" s="299">
        <v>2019</v>
      </c>
      <c r="CN818" s="299">
        <v>3740</v>
      </c>
      <c r="CO818" s="300" t="s">
        <v>244</v>
      </c>
      <c r="CP818" s="299">
        <v>755</v>
      </c>
      <c r="CQ818" s="299">
        <v>29</v>
      </c>
      <c r="CR818" s="294" t="s">
        <v>385</v>
      </c>
      <c r="CS818" s="294" t="s">
        <v>401</v>
      </c>
      <c r="CT818" s="294" t="s">
        <v>402</v>
      </c>
      <c r="CU818" s="301">
        <v>799000</v>
      </c>
    </row>
    <row r="819" spans="91:99">
      <c r="CM819" s="299">
        <v>2019</v>
      </c>
      <c r="CN819" s="299">
        <v>3740</v>
      </c>
      <c r="CO819" s="300" t="s">
        <v>244</v>
      </c>
      <c r="CP819" s="299">
        <v>755</v>
      </c>
      <c r="CQ819" s="299">
        <v>30</v>
      </c>
      <c r="CR819" s="294" t="s">
        <v>385</v>
      </c>
      <c r="CS819" s="294" t="s">
        <v>401</v>
      </c>
      <c r="CT819" s="294" t="s">
        <v>403</v>
      </c>
      <c r="CU819" s="301">
        <v>1281021000</v>
      </c>
    </row>
    <row r="820" spans="91:99">
      <c r="CM820" s="299">
        <v>2019</v>
      </c>
      <c r="CN820" s="299">
        <v>3740</v>
      </c>
      <c r="CO820" s="300" t="s">
        <v>244</v>
      </c>
      <c r="CP820" s="299">
        <v>755</v>
      </c>
      <c r="CQ820" s="299">
        <v>31</v>
      </c>
      <c r="CR820" s="294" t="s">
        <v>385</v>
      </c>
      <c r="CS820" s="294" t="s">
        <v>404</v>
      </c>
      <c r="CT820" s="294" t="s">
        <v>387</v>
      </c>
      <c r="CU820" s="301">
        <v>0</v>
      </c>
    </row>
    <row r="821" spans="91:99">
      <c r="CM821" s="299">
        <v>2019</v>
      </c>
      <c r="CN821" s="299">
        <v>3740</v>
      </c>
      <c r="CO821" s="300" t="s">
        <v>244</v>
      </c>
      <c r="CP821" s="299">
        <v>755</v>
      </c>
      <c r="CQ821" s="299">
        <v>32</v>
      </c>
      <c r="CR821" s="294" t="s">
        <v>385</v>
      </c>
      <c r="CS821" s="294" t="s">
        <v>404</v>
      </c>
      <c r="CT821" s="294" t="s">
        <v>388</v>
      </c>
      <c r="CU821" s="301">
        <v>12178000</v>
      </c>
    </row>
    <row r="822" spans="91:99">
      <c r="CM822" s="299">
        <v>2019</v>
      </c>
      <c r="CN822" s="299">
        <v>3740</v>
      </c>
      <c r="CO822" s="300" t="s">
        <v>244</v>
      </c>
      <c r="CP822" s="299">
        <v>755</v>
      </c>
      <c r="CQ822" s="299">
        <v>33</v>
      </c>
      <c r="CR822" s="294" t="s">
        <v>385</v>
      </c>
      <c r="CS822" s="294" t="s">
        <v>404</v>
      </c>
      <c r="CT822" s="294" t="s">
        <v>389</v>
      </c>
      <c r="CU822" s="301">
        <v>134180000</v>
      </c>
    </row>
    <row r="823" spans="91:99">
      <c r="CM823" s="299">
        <v>2019</v>
      </c>
      <c r="CN823" s="299">
        <v>3740</v>
      </c>
      <c r="CO823" s="300" t="s">
        <v>244</v>
      </c>
      <c r="CP823" s="299">
        <v>755</v>
      </c>
      <c r="CQ823" s="299">
        <v>34</v>
      </c>
      <c r="CR823" s="294" t="s">
        <v>385</v>
      </c>
      <c r="CS823" s="294" t="s">
        <v>404</v>
      </c>
      <c r="CT823" s="294" t="s">
        <v>390</v>
      </c>
      <c r="CU823" s="301">
        <v>67146000</v>
      </c>
    </row>
    <row r="824" spans="91:99">
      <c r="CM824" s="299">
        <v>2019</v>
      </c>
      <c r="CN824" s="299">
        <v>3740</v>
      </c>
      <c r="CO824" s="300" t="s">
        <v>244</v>
      </c>
      <c r="CP824" s="299">
        <v>755</v>
      </c>
      <c r="CQ824" s="299">
        <v>35</v>
      </c>
      <c r="CR824" s="294" t="s">
        <v>385</v>
      </c>
      <c r="CS824" s="294" t="s">
        <v>404</v>
      </c>
      <c r="CT824" s="294" t="s">
        <v>391</v>
      </c>
      <c r="CU824" s="301">
        <v>74814000</v>
      </c>
    </row>
    <row r="825" spans="91:99">
      <c r="CM825" s="299">
        <v>2019</v>
      </c>
      <c r="CN825" s="299">
        <v>3740</v>
      </c>
      <c r="CO825" s="300" t="s">
        <v>244</v>
      </c>
      <c r="CP825" s="299">
        <v>755</v>
      </c>
      <c r="CQ825" s="299">
        <v>36</v>
      </c>
      <c r="CR825" s="294" t="s">
        <v>385</v>
      </c>
      <c r="CS825" s="294" t="s">
        <v>404</v>
      </c>
      <c r="CT825" s="294" t="s">
        <v>392</v>
      </c>
      <c r="CU825" s="301">
        <v>382569000</v>
      </c>
    </row>
    <row r="826" spans="91:99">
      <c r="CM826" s="299">
        <v>2019</v>
      </c>
      <c r="CN826" s="299">
        <v>3740</v>
      </c>
      <c r="CO826" s="300" t="s">
        <v>244</v>
      </c>
      <c r="CP826" s="299">
        <v>755</v>
      </c>
      <c r="CQ826" s="299">
        <v>37</v>
      </c>
      <c r="CR826" s="294" t="s">
        <v>385</v>
      </c>
      <c r="CS826" s="294" t="s">
        <v>404</v>
      </c>
      <c r="CT826" s="294" t="s">
        <v>393</v>
      </c>
      <c r="CU826" s="301">
        <v>59186000</v>
      </c>
    </row>
    <row r="827" spans="91:99">
      <c r="CM827" s="299">
        <v>2019</v>
      </c>
      <c r="CN827" s="299">
        <v>3740</v>
      </c>
      <c r="CO827" s="300" t="s">
        <v>244</v>
      </c>
      <c r="CP827" s="299">
        <v>755</v>
      </c>
      <c r="CQ827" s="299">
        <v>38</v>
      </c>
      <c r="CR827" s="294" t="s">
        <v>385</v>
      </c>
      <c r="CS827" s="294" t="s">
        <v>404</v>
      </c>
      <c r="CT827" s="294" t="s">
        <v>394</v>
      </c>
      <c r="CU827" s="301">
        <v>42721000</v>
      </c>
    </row>
    <row r="828" spans="91:99">
      <c r="CM828" s="299">
        <v>2019</v>
      </c>
      <c r="CN828" s="299">
        <v>3740</v>
      </c>
      <c r="CO828" s="300" t="s">
        <v>244</v>
      </c>
      <c r="CP828" s="299">
        <v>755</v>
      </c>
      <c r="CQ828" s="299">
        <v>39</v>
      </c>
      <c r="CR828" s="294" t="s">
        <v>385</v>
      </c>
      <c r="CS828" s="294" t="s">
        <v>404</v>
      </c>
      <c r="CT828" s="294" t="s">
        <v>395</v>
      </c>
      <c r="CU828" s="301">
        <v>50660000</v>
      </c>
    </row>
    <row r="829" spans="91:99">
      <c r="CM829" s="299">
        <v>2019</v>
      </c>
      <c r="CN829" s="299">
        <v>3740</v>
      </c>
      <c r="CO829" s="300" t="s">
        <v>244</v>
      </c>
      <c r="CP829" s="299">
        <v>755</v>
      </c>
      <c r="CQ829" s="299">
        <v>40</v>
      </c>
      <c r="CR829" s="294" t="s">
        <v>385</v>
      </c>
      <c r="CS829" s="294" t="s">
        <v>404</v>
      </c>
      <c r="CT829" s="294" t="s">
        <v>396</v>
      </c>
      <c r="CU829" s="301">
        <v>10539000</v>
      </c>
    </row>
    <row r="830" spans="91:99">
      <c r="CM830" s="299">
        <v>2019</v>
      </c>
      <c r="CN830" s="299">
        <v>3740</v>
      </c>
      <c r="CO830" s="300" t="s">
        <v>244</v>
      </c>
      <c r="CP830" s="299">
        <v>755</v>
      </c>
      <c r="CQ830" s="299">
        <v>41</v>
      </c>
      <c r="CR830" s="294" t="s">
        <v>385</v>
      </c>
      <c r="CS830" s="294" t="s">
        <v>404</v>
      </c>
      <c r="CT830" s="294" t="s">
        <v>397</v>
      </c>
      <c r="CU830" s="301">
        <v>9492000</v>
      </c>
    </row>
    <row r="831" spans="91:99">
      <c r="CM831" s="299">
        <v>2019</v>
      </c>
      <c r="CN831" s="299">
        <v>3740</v>
      </c>
      <c r="CO831" s="300" t="s">
        <v>244</v>
      </c>
      <c r="CP831" s="299">
        <v>755</v>
      </c>
      <c r="CQ831" s="299">
        <v>42</v>
      </c>
      <c r="CR831" s="294" t="s">
        <v>385</v>
      </c>
      <c r="CS831" s="294" t="s">
        <v>404</v>
      </c>
      <c r="CT831" s="294" t="s">
        <v>398</v>
      </c>
      <c r="CU831" s="301">
        <v>30826000</v>
      </c>
    </row>
    <row r="832" spans="91:99">
      <c r="CM832" s="299">
        <v>2019</v>
      </c>
      <c r="CN832" s="299">
        <v>3740</v>
      </c>
      <c r="CO832" s="300" t="s">
        <v>244</v>
      </c>
      <c r="CP832" s="299">
        <v>755</v>
      </c>
      <c r="CQ832" s="299">
        <v>43</v>
      </c>
      <c r="CR832" s="294" t="s">
        <v>385</v>
      </c>
      <c r="CS832" s="294" t="s">
        <v>404</v>
      </c>
      <c r="CT832" s="294" t="s">
        <v>399</v>
      </c>
      <c r="CU832" s="301">
        <v>203000</v>
      </c>
    </row>
    <row r="833" spans="91:99">
      <c r="CM833" s="299">
        <v>2019</v>
      </c>
      <c r="CN833" s="299">
        <v>3740</v>
      </c>
      <c r="CO833" s="300" t="s">
        <v>244</v>
      </c>
      <c r="CP833" s="299">
        <v>755</v>
      </c>
      <c r="CQ833" s="299">
        <v>44</v>
      </c>
      <c r="CR833" s="294" t="s">
        <v>385</v>
      </c>
      <c r="CS833" s="294" t="s">
        <v>404</v>
      </c>
      <c r="CT833" s="294" t="s">
        <v>400</v>
      </c>
      <c r="CU833" s="301">
        <v>75629000</v>
      </c>
    </row>
    <row r="834" spans="91:99">
      <c r="CM834" s="299">
        <v>2019</v>
      </c>
      <c r="CN834" s="299">
        <v>3740</v>
      </c>
      <c r="CO834" s="300" t="s">
        <v>244</v>
      </c>
      <c r="CP834" s="299">
        <v>755</v>
      </c>
      <c r="CQ834" s="299">
        <v>45</v>
      </c>
      <c r="CR834" s="294" t="s">
        <v>385</v>
      </c>
      <c r="CS834" s="294" t="s">
        <v>405</v>
      </c>
      <c r="CT834" s="294" t="s">
        <v>402</v>
      </c>
      <c r="CU834" s="301">
        <v>381000</v>
      </c>
    </row>
    <row r="835" spans="91:99">
      <c r="CM835" s="299">
        <v>2019</v>
      </c>
      <c r="CN835" s="299">
        <v>3740</v>
      </c>
      <c r="CO835" s="300" t="s">
        <v>244</v>
      </c>
      <c r="CP835" s="299">
        <v>755</v>
      </c>
      <c r="CQ835" s="299">
        <v>46</v>
      </c>
      <c r="CR835" s="294" t="s">
        <v>385</v>
      </c>
      <c r="CS835" s="294" t="s">
        <v>405</v>
      </c>
      <c r="CT835" s="294" t="s">
        <v>406</v>
      </c>
      <c r="CU835" s="301">
        <v>950524000</v>
      </c>
    </row>
    <row r="836" spans="91:99">
      <c r="CM836" s="299">
        <v>2019</v>
      </c>
      <c r="CN836" s="299">
        <v>3740</v>
      </c>
      <c r="CO836" s="300" t="s">
        <v>244</v>
      </c>
      <c r="CP836" s="299">
        <v>755</v>
      </c>
      <c r="CQ836" s="299">
        <v>47</v>
      </c>
      <c r="CR836" s="294" t="s">
        <v>385</v>
      </c>
      <c r="CS836" s="294" t="s">
        <v>407</v>
      </c>
      <c r="CT836" s="294" t="s">
        <v>387</v>
      </c>
      <c r="CU836" s="301">
        <v>0</v>
      </c>
    </row>
    <row r="837" spans="91:99">
      <c r="CM837" s="299">
        <v>2019</v>
      </c>
      <c r="CN837" s="299">
        <v>3740</v>
      </c>
      <c r="CO837" s="300" t="s">
        <v>244</v>
      </c>
      <c r="CP837" s="299">
        <v>755</v>
      </c>
      <c r="CQ837" s="299">
        <v>48</v>
      </c>
      <c r="CR837" s="294" t="s">
        <v>385</v>
      </c>
      <c r="CS837" s="294" t="s">
        <v>407</v>
      </c>
      <c r="CT837" s="294" t="s">
        <v>388</v>
      </c>
      <c r="CU837" s="301">
        <v>39649000</v>
      </c>
    </row>
    <row r="838" spans="91:99">
      <c r="CM838" s="299">
        <v>2019</v>
      </c>
      <c r="CN838" s="299">
        <v>3740</v>
      </c>
      <c r="CO838" s="300" t="s">
        <v>244</v>
      </c>
      <c r="CP838" s="299">
        <v>755</v>
      </c>
      <c r="CQ838" s="299">
        <v>49</v>
      </c>
      <c r="CR838" s="294" t="s">
        <v>385</v>
      </c>
      <c r="CS838" s="294" t="s">
        <v>407</v>
      </c>
      <c r="CT838" s="294" t="s">
        <v>389</v>
      </c>
      <c r="CU838" s="301">
        <v>110180000</v>
      </c>
    </row>
    <row r="839" spans="91:99">
      <c r="CM839" s="299">
        <v>2019</v>
      </c>
      <c r="CN839" s="299">
        <v>3740</v>
      </c>
      <c r="CO839" s="300" t="s">
        <v>244</v>
      </c>
      <c r="CP839" s="299">
        <v>755</v>
      </c>
      <c r="CQ839" s="299">
        <v>50</v>
      </c>
      <c r="CR839" s="294" t="s">
        <v>385</v>
      </c>
      <c r="CS839" s="294" t="s">
        <v>407</v>
      </c>
      <c r="CT839" s="294" t="s">
        <v>390</v>
      </c>
      <c r="CU839" s="301">
        <v>586425000</v>
      </c>
    </row>
    <row r="840" spans="91:99">
      <c r="CM840" s="299">
        <v>2019</v>
      </c>
      <c r="CN840" s="299">
        <v>3740</v>
      </c>
      <c r="CO840" s="300" t="s">
        <v>244</v>
      </c>
      <c r="CP840" s="299">
        <v>755</v>
      </c>
      <c r="CQ840" s="299">
        <v>51</v>
      </c>
      <c r="CR840" s="294" t="s">
        <v>385</v>
      </c>
      <c r="CS840" s="294" t="s">
        <v>407</v>
      </c>
      <c r="CT840" s="294" t="s">
        <v>391</v>
      </c>
      <c r="CU840" s="301">
        <v>31042000</v>
      </c>
    </row>
    <row r="841" spans="91:99">
      <c r="CM841" s="299">
        <v>2019</v>
      </c>
      <c r="CN841" s="299">
        <v>3740</v>
      </c>
      <c r="CO841" s="300" t="s">
        <v>244</v>
      </c>
      <c r="CP841" s="299">
        <v>755</v>
      </c>
      <c r="CQ841" s="299">
        <v>52</v>
      </c>
      <c r="CR841" s="294" t="s">
        <v>385</v>
      </c>
      <c r="CS841" s="294" t="s">
        <v>407</v>
      </c>
      <c r="CT841" s="294" t="s">
        <v>392</v>
      </c>
      <c r="CU841" s="301">
        <v>826700000</v>
      </c>
    </row>
    <row r="842" spans="91:99">
      <c r="CM842" s="299">
        <v>2019</v>
      </c>
      <c r="CN842" s="299">
        <v>3740</v>
      </c>
      <c r="CO842" s="300" t="s">
        <v>244</v>
      </c>
      <c r="CP842" s="299">
        <v>755</v>
      </c>
      <c r="CQ842" s="299">
        <v>53</v>
      </c>
      <c r="CR842" s="294" t="s">
        <v>385</v>
      </c>
      <c r="CS842" s="294" t="s">
        <v>407</v>
      </c>
      <c r="CT842" s="294" t="s">
        <v>393</v>
      </c>
      <c r="CU842" s="301">
        <v>17219000</v>
      </c>
    </row>
    <row r="843" spans="91:99">
      <c r="CM843" s="299">
        <v>2019</v>
      </c>
      <c r="CN843" s="299">
        <v>3740</v>
      </c>
      <c r="CO843" s="300" t="s">
        <v>244</v>
      </c>
      <c r="CP843" s="299">
        <v>755</v>
      </c>
      <c r="CQ843" s="299">
        <v>54</v>
      </c>
      <c r="CR843" s="294" t="s">
        <v>385</v>
      </c>
      <c r="CS843" s="294" t="s">
        <v>407</v>
      </c>
      <c r="CT843" s="294" t="s">
        <v>394</v>
      </c>
      <c r="CU843" s="301">
        <v>204458000</v>
      </c>
    </row>
    <row r="844" spans="91:99">
      <c r="CM844" s="299">
        <v>2019</v>
      </c>
      <c r="CN844" s="299">
        <v>3740</v>
      </c>
      <c r="CO844" s="300" t="s">
        <v>244</v>
      </c>
      <c r="CP844" s="299">
        <v>755</v>
      </c>
      <c r="CQ844" s="299">
        <v>55</v>
      </c>
      <c r="CR844" s="294" t="s">
        <v>385</v>
      </c>
      <c r="CS844" s="294" t="s">
        <v>407</v>
      </c>
      <c r="CT844" s="294" t="s">
        <v>395</v>
      </c>
      <c r="CU844" s="301">
        <v>18779000</v>
      </c>
    </row>
    <row r="845" spans="91:99">
      <c r="CM845" s="299">
        <v>2019</v>
      </c>
      <c r="CN845" s="299">
        <v>3740</v>
      </c>
      <c r="CO845" s="300" t="s">
        <v>244</v>
      </c>
      <c r="CP845" s="299">
        <v>755</v>
      </c>
      <c r="CQ845" s="299">
        <v>56</v>
      </c>
      <c r="CR845" s="294" t="s">
        <v>385</v>
      </c>
      <c r="CS845" s="294" t="s">
        <v>407</v>
      </c>
      <c r="CT845" s="294" t="s">
        <v>396</v>
      </c>
      <c r="CU845" s="301">
        <v>6536000</v>
      </c>
    </row>
    <row r="846" spans="91:99">
      <c r="CM846" s="299">
        <v>2019</v>
      </c>
      <c r="CN846" s="299">
        <v>3740</v>
      </c>
      <c r="CO846" s="300" t="s">
        <v>244</v>
      </c>
      <c r="CP846" s="299">
        <v>755</v>
      </c>
      <c r="CQ846" s="299">
        <v>57</v>
      </c>
      <c r="CR846" s="294" t="s">
        <v>385</v>
      </c>
      <c r="CS846" s="294" t="s">
        <v>407</v>
      </c>
      <c r="CT846" s="294" t="s">
        <v>397</v>
      </c>
      <c r="CU846" s="301">
        <v>1098714000</v>
      </c>
    </row>
    <row r="847" spans="91:99">
      <c r="CM847" s="299">
        <v>2019</v>
      </c>
      <c r="CN847" s="299">
        <v>3740</v>
      </c>
      <c r="CO847" s="300" t="s">
        <v>244</v>
      </c>
      <c r="CP847" s="299">
        <v>755</v>
      </c>
      <c r="CQ847" s="299">
        <v>58</v>
      </c>
      <c r="CR847" s="294" t="s">
        <v>385</v>
      </c>
      <c r="CS847" s="294" t="s">
        <v>407</v>
      </c>
      <c r="CT847" s="294" t="s">
        <v>398</v>
      </c>
      <c r="CU847" s="301">
        <v>469066000</v>
      </c>
    </row>
    <row r="848" spans="91:99">
      <c r="CM848" s="299">
        <v>2019</v>
      </c>
      <c r="CN848" s="299">
        <v>3740</v>
      </c>
      <c r="CO848" s="300" t="s">
        <v>244</v>
      </c>
      <c r="CP848" s="299">
        <v>755</v>
      </c>
      <c r="CQ848" s="299">
        <v>59</v>
      </c>
      <c r="CR848" s="294" t="s">
        <v>385</v>
      </c>
      <c r="CS848" s="294" t="s">
        <v>407</v>
      </c>
      <c r="CT848" s="294" t="s">
        <v>399</v>
      </c>
      <c r="CU848" s="301">
        <v>162000</v>
      </c>
    </row>
    <row r="849" spans="91:99">
      <c r="CM849" s="299">
        <v>2019</v>
      </c>
      <c r="CN849" s="299">
        <v>3740</v>
      </c>
      <c r="CO849" s="300" t="s">
        <v>244</v>
      </c>
      <c r="CP849" s="299">
        <v>755</v>
      </c>
      <c r="CQ849" s="299">
        <v>60</v>
      </c>
      <c r="CR849" s="294" t="s">
        <v>385</v>
      </c>
      <c r="CS849" s="294" t="s">
        <v>407</v>
      </c>
      <c r="CT849" s="294" t="s">
        <v>400</v>
      </c>
      <c r="CU849" s="301">
        <v>137062000</v>
      </c>
    </row>
    <row r="850" spans="91:99">
      <c r="CM850" s="299">
        <v>2019</v>
      </c>
      <c r="CN850" s="299">
        <v>3740</v>
      </c>
      <c r="CO850" s="300" t="s">
        <v>244</v>
      </c>
      <c r="CP850" s="299">
        <v>755</v>
      </c>
      <c r="CQ850" s="299">
        <v>61</v>
      </c>
      <c r="CR850" s="294" t="s">
        <v>385</v>
      </c>
      <c r="CS850" s="294" t="s">
        <v>407</v>
      </c>
      <c r="CT850" s="294" t="s">
        <v>408</v>
      </c>
      <c r="CU850" s="301">
        <v>162613000</v>
      </c>
    </row>
    <row r="851" spans="91:99">
      <c r="CM851" s="299">
        <v>2019</v>
      </c>
      <c r="CN851" s="299">
        <v>3740</v>
      </c>
      <c r="CO851" s="300" t="s">
        <v>244</v>
      </c>
      <c r="CP851" s="299">
        <v>755</v>
      </c>
      <c r="CQ851" s="299">
        <v>62</v>
      </c>
      <c r="CR851" s="294" t="s">
        <v>385</v>
      </c>
      <c r="CS851" s="294" t="s">
        <v>407</v>
      </c>
      <c r="CT851" s="294" t="s">
        <v>409</v>
      </c>
      <c r="CU851" s="301">
        <v>627122000</v>
      </c>
    </row>
    <row r="852" spans="91:99">
      <c r="CM852" s="299">
        <v>2019</v>
      </c>
      <c r="CN852" s="299">
        <v>3740</v>
      </c>
      <c r="CO852" s="300" t="s">
        <v>244</v>
      </c>
      <c r="CP852" s="299">
        <v>755</v>
      </c>
      <c r="CQ852" s="299">
        <v>63</v>
      </c>
      <c r="CR852" s="294" t="s">
        <v>385</v>
      </c>
      <c r="CS852" s="294" t="s">
        <v>410</v>
      </c>
      <c r="CT852" s="294" t="s">
        <v>402</v>
      </c>
      <c r="CU852" s="301">
        <v>3110000</v>
      </c>
    </row>
    <row r="853" spans="91:99">
      <c r="CM853" s="299">
        <v>2019</v>
      </c>
      <c r="CN853" s="299">
        <v>3740</v>
      </c>
      <c r="CO853" s="300" t="s">
        <v>244</v>
      </c>
      <c r="CP853" s="299">
        <v>755</v>
      </c>
      <c r="CQ853" s="299">
        <v>64</v>
      </c>
      <c r="CR853" s="294" t="s">
        <v>385</v>
      </c>
      <c r="CS853" s="294" t="s">
        <v>410</v>
      </c>
      <c r="CT853" s="294" t="s">
        <v>411</v>
      </c>
      <c r="CU853" s="301">
        <v>4338837000</v>
      </c>
    </row>
    <row r="854" spans="91:99">
      <c r="CM854" s="299">
        <v>2019</v>
      </c>
      <c r="CN854" s="299">
        <v>3740</v>
      </c>
      <c r="CO854" s="300" t="s">
        <v>244</v>
      </c>
      <c r="CP854" s="299">
        <v>755</v>
      </c>
      <c r="CQ854" s="299">
        <v>65</v>
      </c>
      <c r="CR854" s="294" t="s">
        <v>385</v>
      </c>
      <c r="CS854" s="294" t="s">
        <v>412</v>
      </c>
      <c r="CT854" s="294" t="s">
        <v>387</v>
      </c>
      <c r="CU854" s="301">
        <v>0</v>
      </c>
    </row>
    <row r="855" spans="91:99">
      <c r="CM855" s="299">
        <v>2019</v>
      </c>
      <c r="CN855" s="299">
        <v>3740</v>
      </c>
      <c r="CO855" s="300" t="s">
        <v>244</v>
      </c>
      <c r="CP855" s="299">
        <v>755</v>
      </c>
      <c r="CQ855" s="299">
        <v>66</v>
      </c>
      <c r="CR855" s="294" t="s">
        <v>385</v>
      </c>
      <c r="CS855" s="294" t="s">
        <v>412</v>
      </c>
      <c r="CT855" s="294" t="s">
        <v>388</v>
      </c>
      <c r="CU855" s="301">
        <v>31557000</v>
      </c>
    </row>
    <row r="856" spans="91:99">
      <c r="CM856" s="299">
        <v>2019</v>
      </c>
      <c r="CN856" s="299">
        <v>3740</v>
      </c>
      <c r="CO856" s="300" t="s">
        <v>244</v>
      </c>
      <c r="CP856" s="299">
        <v>755</v>
      </c>
      <c r="CQ856" s="299">
        <v>67</v>
      </c>
      <c r="CR856" s="294" t="s">
        <v>385</v>
      </c>
      <c r="CS856" s="294" t="s">
        <v>412</v>
      </c>
      <c r="CT856" s="294" t="s">
        <v>389</v>
      </c>
      <c r="CU856" s="301">
        <v>67321000</v>
      </c>
    </row>
    <row r="857" spans="91:99">
      <c r="CM857" s="299">
        <v>2019</v>
      </c>
      <c r="CN857" s="299">
        <v>3740</v>
      </c>
      <c r="CO857" s="300" t="s">
        <v>244</v>
      </c>
      <c r="CP857" s="299">
        <v>755</v>
      </c>
      <c r="CQ857" s="299">
        <v>68</v>
      </c>
      <c r="CR857" s="294" t="s">
        <v>385</v>
      </c>
      <c r="CS857" s="294" t="s">
        <v>412</v>
      </c>
      <c r="CT857" s="294" t="s">
        <v>390</v>
      </c>
      <c r="CU857" s="301">
        <v>580953000</v>
      </c>
    </row>
    <row r="858" spans="91:99">
      <c r="CM858" s="299">
        <v>2019</v>
      </c>
      <c r="CN858" s="299">
        <v>3740</v>
      </c>
      <c r="CO858" s="300" t="s">
        <v>244</v>
      </c>
      <c r="CP858" s="299">
        <v>755</v>
      </c>
      <c r="CQ858" s="299">
        <v>69</v>
      </c>
      <c r="CR858" s="294" t="s">
        <v>385</v>
      </c>
      <c r="CS858" s="294" t="s">
        <v>412</v>
      </c>
      <c r="CT858" s="294" t="s">
        <v>391</v>
      </c>
      <c r="CU858" s="301">
        <v>29807000</v>
      </c>
    </row>
    <row r="859" spans="91:99">
      <c r="CM859" s="299">
        <v>2019</v>
      </c>
      <c r="CN859" s="299">
        <v>3740</v>
      </c>
      <c r="CO859" s="300" t="s">
        <v>244</v>
      </c>
      <c r="CP859" s="299">
        <v>755</v>
      </c>
      <c r="CQ859" s="299">
        <v>70</v>
      </c>
      <c r="CR859" s="294" t="s">
        <v>385</v>
      </c>
      <c r="CS859" s="294" t="s">
        <v>412</v>
      </c>
      <c r="CT859" s="294" t="s">
        <v>392</v>
      </c>
      <c r="CU859" s="301">
        <v>803819000</v>
      </c>
    </row>
    <row r="860" spans="91:99">
      <c r="CM860" s="299">
        <v>2019</v>
      </c>
      <c r="CN860" s="299">
        <v>3740</v>
      </c>
      <c r="CO860" s="300" t="s">
        <v>244</v>
      </c>
      <c r="CP860" s="299">
        <v>755</v>
      </c>
      <c r="CQ860" s="299">
        <v>71</v>
      </c>
      <c r="CR860" s="294" t="s">
        <v>385</v>
      </c>
      <c r="CS860" s="294" t="s">
        <v>412</v>
      </c>
      <c r="CT860" s="294" t="s">
        <v>393</v>
      </c>
      <c r="CU860" s="301">
        <v>16481000</v>
      </c>
    </row>
    <row r="861" spans="91:99">
      <c r="CM861" s="299">
        <v>2019</v>
      </c>
      <c r="CN861" s="299">
        <v>3740</v>
      </c>
      <c r="CO861" s="300" t="s">
        <v>244</v>
      </c>
      <c r="CP861" s="299">
        <v>755</v>
      </c>
      <c r="CQ861" s="299">
        <v>72</v>
      </c>
      <c r="CR861" s="294" t="s">
        <v>385</v>
      </c>
      <c r="CS861" s="294" t="s">
        <v>412</v>
      </c>
      <c r="CT861" s="294" t="s">
        <v>394</v>
      </c>
      <c r="CU861" s="301">
        <v>200921000</v>
      </c>
    </row>
    <row r="862" spans="91:99">
      <c r="CM862" s="299">
        <v>2019</v>
      </c>
      <c r="CN862" s="299">
        <v>3740</v>
      </c>
      <c r="CO862" s="300" t="s">
        <v>244</v>
      </c>
      <c r="CP862" s="299">
        <v>755</v>
      </c>
      <c r="CQ862" s="299">
        <v>73</v>
      </c>
      <c r="CR862" s="294" t="s">
        <v>385</v>
      </c>
      <c r="CS862" s="294" t="s">
        <v>412</v>
      </c>
      <c r="CT862" s="294" t="s">
        <v>395</v>
      </c>
      <c r="CU862" s="301">
        <v>15525000</v>
      </c>
    </row>
    <row r="863" spans="91:99">
      <c r="CM863" s="299">
        <v>2019</v>
      </c>
      <c r="CN863" s="299">
        <v>3740</v>
      </c>
      <c r="CO863" s="300" t="s">
        <v>244</v>
      </c>
      <c r="CP863" s="299">
        <v>755</v>
      </c>
      <c r="CQ863" s="299">
        <v>74</v>
      </c>
      <c r="CR863" s="294" t="s">
        <v>385</v>
      </c>
      <c r="CS863" s="294" t="s">
        <v>412</v>
      </c>
      <c r="CT863" s="294" t="s">
        <v>396</v>
      </c>
      <c r="CU863" s="301">
        <v>6509000</v>
      </c>
    </row>
    <row r="864" spans="91:99">
      <c r="CM864" s="299">
        <v>2019</v>
      </c>
      <c r="CN864" s="299">
        <v>3740</v>
      </c>
      <c r="CO864" s="300" t="s">
        <v>244</v>
      </c>
      <c r="CP864" s="299">
        <v>755</v>
      </c>
      <c r="CQ864" s="299">
        <v>75</v>
      </c>
      <c r="CR864" s="294" t="s">
        <v>385</v>
      </c>
      <c r="CS864" s="294" t="s">
        <v>412</v>
      </c>
      <c r="CT864" s="294" t="s">
        <v>397</v>
      </c>
      <c r="CU864" s="301">
        <v>39330000</v>
      </c>
    </row>
    <row r="865" spans="91:99">
      <c r="CM865" s="299">
        <v>2019</v>
      </c>
      <c r="CN865" s="299">
        <v>3740</v>
      </c>
      <c r="CO865" s="300" t="s">
        <v>244</v>
      </c>
      <c r="CP865" s="299">
        <v>755</v>
      </c>
      <c r="CQ865" s="299">
        <v>76</v>
      </c>
      <c r="CR865" s="294" t="s">
        <v>385</v>
      </c>
      <c r="CS865" s="294" t="s">
        <v>412</v>
      </c>
      <c r="CT865" s="294" t="s">
        <v>398</v>
      </c>
      <c r="CU865" s="301">
        <v>176713000</v>
      </c>
    </row>
    <row r="866" spans="91:99">
      <c r="CM866" s="299">
        <v>2019</v>
      </c>
      <c r="CN866" s="299">
        <v>3740</v>
      </c>
      <c r="CO866" s="300" t="s">
        <v>244</v>
      </c>
      <c r="CP866" s="299">
        <v>755</v>
      </c>
      <c r="CQ866" s="299">
        <v>77</v>
      </c>
      <c r="CR866" s="294" t="s">
        <v>385</v>
      </c>
      <c r="CS866" s="294" t="s">
        <v>412</v>
      </c>
      <c r="CT866" s="294" t="s">
        <v>399</v>
      </c>
      <c r="CU866" s="301">
        <v>153000</v>
      </c>
    </row>
    <row r="867" spans="91:99">
      <c r="CM867" s="299">
        <v>2019</v>
      </c>
      <c r="CN867" s="299">
        <v>3740</v>
      </c>
      <c r="CO867" s="300" t="s">
        <v>244</v>
      </c>
      <c r="CP867" s="299">
        <v>755</v>
      </c>
      <c r="CQ867" s="299">
        <v>78</v>
      </c>
      <c r="CR867" s="294" t="s">
        <v>385</v>
      </c>
      <c r="CS867" s="294" t="s">
        <v>412</v>
      </c>
      <c r="CT867" s="294" t="s">
        <v>400</v>
      </c>
      <c r="CU867" s="301">
        <v>128841000</v>
      </c>
    </row>
    <row r="868" spans="91:99">
      <c r="CM868" s="299">
        <v>2019</v>
      </c>
      <c r="CN868" s="299">
        <v>3740</v>
      </c>
      <c r="CO868" s="300" t="s">
        <v>244</v>
      </c>
      <c r="CP868" s="299">
        <v>755</v>
      </c>
      <c r="CQ868" s="299">
        <v>79</v>
      </c>
      <c r="CR868" s="294" t="s">
        <v>385</v>
      </c>
      <c r="CS868" s="294" t="s">
        <v>412</v>
      </c>
      <c r="CT868" s="294" t="s">
        <v>408</v>
      </c>
      <c r="CU868" s="301">
        <v>166959000</v>
      </c>
    </row>
    <row r="869" spans="91:99">
      <c r="CM869" s="299">
        <v>2019</v>
      </c>
      <c r="CN869" s="299">
        <v>3740</v>
      </c>
      <c r="CO869" s="300" t="s">
        <v>244</v>
      </c>
      <c r="CP869" s="299">
        <v>755</v>
      </c>
      <c r="CQ869" s="299">
        <v>80</v>
      </c>
      <c r="CR869" s="294" t="s">
        <v>385</v>
      </c>
      <c r="CS869" s="294" t="s">
        <v>412</v>
      </c>
      <c r="CT869" s="294" t="s">
        <v>409</v>
      </c>
      <c r="CU869" s="301">
        <v>638887000</v>
      </c>
    </row>
    <row r="870" spans="91:99">
      <c r="CM870" s="299">
        <v>2019</v>
      </c>
      <c r="CN870" s="299">
        <v>3740</v>
      </c>
      <c r="CO870" s="300" t="s">
        <v>244</v>
      </c>
      <c r="CP870" s="299">
        <v>755</v>
      </c>
      <c r="CQ870" s="299">
        <v>81</v>
      </c>
      <c r="CR870" s="294" t="s">
        <v>385</v>
      </c>
      <c r="CS870" s="294" t="s">
        <v>413</v>
      </c>
      <c r="CT870" s="294" t="s">
        <v>402</v>
      </c>
      <c r="CU870" s="301">
        <v>890000</v>
      </c>
    </row>
    <row r="871" spans="91:99">
      <c r="CM871" s="299">
        <v>2019</v>
      </c>
      <c r="CN871" s="299">
        <v>3740</v>
      </c>
      <c r="CO871" s="300" t="s">
        <v>244</v>
      </c>
      <c r="CP871" s="299">
        <v>755</v>
      </c>
      <c r="CQ871" s="299">
        <v>82</v>
      </c>
      <c r="CR871" s="294" t="s">
        <v>385</v>
      </c>
      <c r="CS871" s="294" t="s">
        <v>413</v>
      </c>
      <c r="CT871" s="294" t="s">
        <v>414</v>
      </c>
      <c r="CU871" s="301">
        <v>2904666000</v>
      </c>
    </row>
    <row r="872" spans="91:99">
      <c r="CM872" s="299">
        <v>2019</v>
      </c>
      <c r="CN872" s="299">
        <v>3740</v>
      </c>
      <c r="CO872" s="300" t="s">
        <v>244</v>
      </c>
      <c r="CP872" s="299">
        <v>755</v>
      </c>
      <c r="CQ872" s="299">
        <v>83</v>
      </c>
      <c r="CR872" s="294" t="s">
        <v>377</v>
      </c>
      <c r="CS872" s="294" t="s">
        <v>378</v>
      </c>
      <c r="CT872" s="294" t="s">
        <v>415</v>
      </c>
      <c r="CU872" s="301">
        <v>128705000</v>
      </c>
    </row>
    <row r="873" spans="91:99">
      <c r="CM873" s="299">
        <v>2019</v>
      </c>
      <c r="CN873" s="299">
        <v>3740</v>
      </c>
      <c r="CO873" s="300" t="s">
        <v>244</v>
      </c>
      <c r="CP873" s="299">
        <v>755</v>
      </c>
      <c r="CQ873" s="299">
        <v>84</v>
      </c>
      <c r="CR873" s="294" t="s">
        <v>377</v>
      </c>
      <c r="CS873" s="294" t="s">
        <v>378</v>
      </c>
      <c r="CT873" s="294" t="s">
        <v>416</v>
      </c>
      <c r="CU873" s="301">
        <v>0</v>
      </c>
    </row>
    <row r="874" spans="91:99">
      <c r="CM874" s="299">
        <v>2019</v>
      </c>
      <c r="CN874" s="299">
        <v>3740</v>
      </c>
      <c r="CO874" s="300" t="s">
        <v>244</v>
      </c>
      <c r="CP874" s="299">
        <v>755</v>
      </c>
      <c r="CQ874" s="299">
        <v>85</v>
      </c>
      <c r="CR874" s="294" t="s">
        <v>339</v>
      </c>
      <c r="CS874" s="294" t="s">
        <v>340</v>
      </c>
      <c r="CT874" s="294" t="s">
        <v>322</v>
      </c>
      <c r="CU874" s="301">
        <v>2970181000</v>
      </c>
    </row>
    <row r="875" spans="91:99">
      <c r="CM875" s="299">
        <v>2019</v>
      </c>
      <c r="CN875" s="299">
        <v>3740</v>
      </c>
      <c r="CO875" s="300" t="s">
        <v>244</v>
      </c>
      <c r="CP875" s="299">
        <v>755</v>
      </c>
      <c r="CQ875" s="299">
        <v>86</v>
      </c>
      <c r="CR875" s="294" t="s">
        <v>339</v>
      </c>
      <c r="CS875" s="294" t="s">
        <v>340</v>
      </c>
      <c r="CT875" s="294" t="s">
        <v>323</v>
      </c>
      <c r="CU875" s="301">
        <v>208912000</v>
      </c>
    </row>
    <row r="876" spans="91:99">
      <c r="CM876" s="299">
        <v>2019</v>
      </c>
      <c r="CN876" s="299">
        <v>3740</v>
      </c>
      <c r="CO876" s="300" t="s">
        <v>244</v>
      </c>
      <c r="CP876" s="299">
        <v>755</v>
      </c>
      <c r="CQ876" s="299">
        <v>87</v>
      </c>
      <c r="CR876" s="294" t="s">
        <v>339</v>
      </c>
      <c r="CS876" s="294" t="s">
        <v>341</v>
      </c>
      <c r="CT876" s="294" t="s">
        <v>325</v>
      </c>
      <c r="CU876" s="301">
        <v>6424660000</v>
      </c>
    </row>
    <row r="877" spans="91:99">
      <c r="CM877" s="299">
        <v>2019</v>
      </c>
      <c r="CN877" s="299">
        <v>3740</v>
      </c>
      <c r="CO877" s="300" t="s">
        <v>244</v>
      </c>
      <c r="CP877" s="299">
        <v>755</v>
      </c>
      <c r="CQ877" s="299">
        <v>88</v>
      </c>
      <c r="CR877" s="294" t="s">
        <v>339</v>
      </c>
      <c r="CS877" s="294" t="s">
        <v>341</v>
      </c>
      <c r="CT877" s="294" t="s">
        <v>342</v>
      </c>
      <c r="CU877" s="301">
        <v>9603753000</v>
      </c>
    </row>
    <row r="878" spans="91:99">
      <c r="CM878" s="299">
        <v>2019</v>
      </c>
      <c r="CN878" s="299">
        <v>3740</v>
      </c>
      <c r="CO878" s="300" t="s">
        <v>244</v>
      </c>
      <c r="CP878" s="299">
        <v>755</v>
      </c>
      <c r="CQ878" s="299">
        <v>89</v>
      </c>
      <c r="CR878" s="294" t="s">
        <v>377</v>
      </c>
      <c r="CS878" s="294" t="s">
        <v>378</v>
      </c>
      <c r="CT878" s="294" t="s">
        <v>379</v>
      </c>
      <c r="CU878" s="301">
        <v>11000</v>
      </c>
    </row>
    <row r="879" spans="91:99">
      <c r="CM879" s="299">
        <v>2019</v>
      </c>
      <c r="CN879" s="299">
        <v>3740</v>
      </c>
      <c r="CO879" s="300" t="s">
        <v>244</v>
      </c>
      <c r="CP879" s="299">
        <v>755</v>
      </c>
      <c r="CQ879" s="299">
        <v>98</v>
      </c>
      <c r="CR879" s="294" t="s">
        <v>343</v>
      </c>
      <c r="CS879" s="294" t="s">
        <v>380</v>
      </c>
      <c r="CT879" s="294" t="s">
        <v>381</v>
      </c>
      <c r="CU879" s="301">
        <v>72880060000</v>
      </c>
    </row>
    <row r="880" spans="91:99">
      <c r="CM880" s="299">
        <v>2019</v>
      </c>
      <c r="CN880" s="299">
        <v>3740</v>
      </c>
      <c r="CO880" s="300" t="s">
        <v>244</v>
      </c>
      <c r="CP880" s="299">
        <v>755</v>
      </c>
      <c r="CQ880" s="299">
        <v>99</v>
      </c>
      <c r="CR880" s="294" t="s">
        <v>343</v>
      </c>
      <c r="CS880" s="294" t="s">
        <v>344</v>
      </c>
      <c r="CT880" s="294" t="s">
        <v>322</v>
      </c>
      <c r="CU880" s="301">
        <v>248707812000</v>
      </c>
    </row>
    <row r="881" spans="91:99">
      <c r="CM881" s="299">
        <v>2019</v>
      </c>
      <c r="CN881" s="299">
        <v>3740</v>
      </c>
      <c r="CO881" s="300" t="s">
        <v>244</v>
      </c>
      <c r="CP881" s="299">
        <v>755</v>
      </c>
      <c r="CQ881" s="299">
        <v>100</v>
      </c>
      <c r="CR881" s="294" t="s">
        <v>343</v>
      </c>
      <c r="CS881" s="294" t="s">
        <v>344</v>
      </c>
      <c r="CT881" s="294" t="s">
        <v>323</v>
      </c>
      <c r="CU881" s="301">
        <v>16191415000</v>
      </c>
    </row>
    <row r="882" spans="91:99">
      <c r="CM882" s="299">
        <v>2019</v>
      </c>
      <c r="CN882" s="299">
        <v>3740</v>
      </c>
      <c r="CO882" s="300" t="s">
        <v>244</v>
      </c>
      <c r="CP882" s="299">
        <v>755</v>
      </c>
      <c r="CQ882" s="299">
        <v>101</v>
      </c>
      <c r="CR882" s="294" t="s">
        <v>343</v>
      </c>
      <c r="CS882" s="294" t="s">
        <v>344</v>
      </c>
      <c r="CT882" s="294" t="s">
        <v>325</v>
      </c>
      <c r="CU882" s="301">
        <v>571309960000</v>
      </c>
    </row>
    <row r="883" spans="91:99">
      <c r="CM883" s="299">
        <v>2019</v>
      </c>
      <c r="CN883" s="299">
        <v>3740</v>
      </c>
      <c r="CO883" s="300" t="s">
        <v>244</v>
      </c>
      <c r="CP883" s="299">
        <v>755</v>
      </c>
      <c r="CQ883" s="299">
        <v>102</v>
      </c>
      <c r="CR883" s="294" t="s">
        <v>343</v>
      </c>
      <c r="CS883" s="294" t="s">
        <v>345</v>
      </c>
      <c r="CT883" s="294" t="s">
        <v>346</v>
      </c>
      <c r="CU883" s="301">
        <v>0</v>
      </c>
    </row>
    <row r="884" spans="91:99">
      <c r="CM884" s="299">
        <v>2019</v>
      </c>
      <c r="CN884" s="299">
        <v>3740</v>
      </c>
      <c r="CO884" s="300" t="s">
        <v>244</v>
      </c>
      <c r="CP884" s="299">
        <v>755</v>
      </c>
      <c r="CQ884" s="299">
        <v>103</v>
      </c>
      <c r="CR884" s="294" t="s">
        <v>343</v>
      </c>
      <c r="CS884" s="294" t="s">
        <v>347</v>
      </c>
      <c r="CT884" s="294" t="s">
        <v>348</v>
      </c>
      <c r="CU884" s="301">
        <v>10406772000</v>
      </c>
    </row>
    <row r="885" spans="91:99">
      <c r="CM885" s="299">
        <v>2019</v>
      </c>
      <c r="CN885" s="299">
        <v>3740</v>
      </c>
      <c r="CO885" s="300" t="s">
        <v>244</v>
      </c>
      <c r="CP885" s="299">
        <v>755</v>
      </c>
      <c r="CQ885" s="299">
        <v>104</v>
      </c>
      <c r="CR885" s="294" t="s">
        <v>343</v>
      </c>
      <c r="CS885" s="294" t="s">
        <v>349</v>
      </c>
      <c r="CT885" s="294" t="s">
        <v>350</v>
      </c>
      <c r="CU885" s="301">
        <v>919496019000</v>
      </c>
    </row>
    <row r="886" spans="91:99">
      <c r="CM886" s="299">
        <v>2019</v>
      </c>
      <c r="CN886" s="299">
        <v>3740</v>
      </c>
      <c r="CO886" s="300" t="s">
        <v>244</v>
      </c>
      <c r="CP886" s="299">
        <v>755</v>
      </c>
      <c r="CQ886" s="299">
        <v>105</v>
      </c>
      <c r="CR886" s="294" t="s">
        <v>351</v>
      </c>
      <c r="CS886" s="294" t="s">
        <v>352</v>
      </c>
      <c r="CT886" s="294" t="s">
        <v>353</v>
      </c>
      <c r="CU886" s="301">
        <v>466709000</v>
      </c>
    </row>
    <row r="887" spans="91:99">
      <c r="CM887" s="299">
        <v>2019</v>
      </c>
      <c r="CN887" s="299">
        <v>3740</v>
      </c>
      <c r="CO887" s="300" t="s">
        <v>244</v>
      </c>
      <c r="CP887" s="299">
        <v>755</v>
      </c>
      <c r="CQ887" s="299">
        <v>106</v>
      </c>
      <c r="CR887" s="294" t="s">
        <v>351</v>
      </c>
      <c r="CS887" s="294" t="s">
        <v>354</v>
      </c>
      <c r="CT887" s="294" t="s">
        <v>355</v>
      </c>
      <c r="CU887" s="301">
        <v>9929000</v>
      </c>
    </row>
    <row r="888" spans="91:99">
      <c r="CM888" s="299">
        <v>2019</v>
      </c>
      <c r="CN888" s="299">
        <v>3740</v>
      </c>
      <c r="CO888" s="300" t="s">
        <v>244</v>
      </c>
      <c r="CP888" s="299">
        <v>755</v>
      </c>
      <c r="CQ888" s="299">
        <v>107</v>
      </c>
      <c r="CR888" s="294" t="s">
        <v>351</v>
      </c>
      <c r="CS888" s="294" t="s">
        <v>356</v>
      </c>
      <c r="CT888" s="294" t="s">
        <v>357</v>
      </c>
      <c r="CU888" s="301">
        <v>476638000</v>
      </c>
    </row>
    <row r="889" spans="91:99">
      <c r="CM889" s="299">
        <v>2019</v>
      </c>
      <c r="CN889" s="299">
        <v>3740</v>
      </c>
      <c r="CO889" s="300" t="s">
        <v>244</v>
      </c>
      <c r="CP889" s="299">
        <v>755</v>
      </c>
      <c r="CQ889" s="299">
        <v>108</v>
      </c>
      <c r="CR889" s="294" t="s">
        <v>358</v>
      </c>
      <c r="CS889" s="294" t="s">
        <v>359</v>
      </c>
      <c r="CT889" s="294" t="s">
        <v>360</v>
      </c>
      <c r="CU889" s="301">
        <v>423433322000</v>
      </c>
    </row>
    <row r="890" spans="91:99">
      <c r="CM890" s="299">
        <v>2019</v>
      </c>
      <c r="CN890" s="299">
        <v>3740</v>
      </c>
      <c r="CO890" s="300" t="s">
        <v>244</v>
      </c>
      <c r="CP890" s="299">
        <v>755</v>
      </c>
      <c r="CQ890" s="299">
        <v>109</v>
      </c>
      <c r="CR890" s="294" t="s">
        <v>358</v>
      </c>
      <c r="CS890" s="294" t="s">
        <v>359</v>
      </c>
      <c r="CT890" s="294" t="s">
        <v>361</v>
      </c>
      <c r="CU890" s="301">
        <v>0</v>
      </c>
    </row>
    <row r="891" spans="91:99">
      <c r="CM891" s="299">
        <v>2019</v>
      </c>
      <c r="CN891" s="299">
        <v>3740</v>
      </c>
      <c r="CO891" s="300" t="s">
        <v>244</v>
      </c>
      <c r="CP891" s="299">
        <v>755</v>
      </c>
      <c r="CQ891" s="299">
        <v>110</v>
      </c>
      <c r="CR891" s="294" t="s">
        <v>358</v>
      </c>
      <c r="CS891" s="294" t="s">
        <v>359</v>
      </c>
      <c r="CT891" s="294" t="s">
        <v>362</v>
      </c>
      <c r="CU891" s="301">
        <v>423433322000</v>
      </c>
    </row>
    <row r="892" spans="91:99">
      <c r="CM892" s="299">
        <v>2019</v>
      </c>
      <c r="CN892" s="299">
        <v>3740</v>
      </c>
      <c r="CO892" s="300" t="s">
        <v>244</v>
      </c>
      <c r="CP892" s="299">
        <v>755</v>
      </c>
      <c r="CQ892" s="299">
        <v>111</v>
      </c>
      <c r="CR892" s="294" t="s">
        <v>358</v>
      </c>
      <c r="CS892" s="294" t="s">
        <v>363</v>
      </c>
      <c r="CT892" s="294" t="s">
        <v>364</v>
      </c>
      <c r="CU892" s="301">
        <v>5100649000</v>
      </c>
    </row>
    <row r="893" spans="91:99">
      <c r="CM893" s="299">
        <v>2019</v>
      </c>
      <c r="CN893" s="299">
        <v>3740</v>
      </c>
      <c r="CO893" s="300" t="s">
        <v>244</v>
      </c>
      <c r="CP893" s="299">
        <v>755</v>
      </c>
      <c r="CQ893" s="299">
        <v>112</v>
      </c>
      <c r="CR893" s="294" t="s">
        <v>358</v>
      </c>
      <c r="CS893" s="294" t="s">
        <v>363</v>
      </c>
      <c r="CT893" s="294" t="s">
        <v>365</v>
      </c>
      <c r="CU893" s="301">
        <v>0</v>
      </c>
    </row>
    <row r="894" spans="91:99">
      <c r="CM894" s="299">
        <v>2019</v>
      </c>
      <c r="CN894" s="299">
        <v>3740</v>
      </c>
      <c r="CO894" s="300" t="s">
        <v>244</v>
      </c>
      <c r="CP894" s="299">
        <v>755</v>
      </c>
      <c r="CQ894" s="299">
        <v>113</v>
      </c>
      <c r="CR894" s="294" t="s">
        <v>358</v>
      </c>
      <c r="CS894" s="294" t="s">
        <v>363</v>
      </c>
      <c r="CT894" s="294" t="s">
        <v>366</v>
      </c>
      <c r="CU894" s="301">
        <v>5100649000</v>
      </c>
    </row>
    <row r="895" spans="91:99">
      <c r="CM895" s="299">
        <v>2019</v>
      </c>
      <c r="CN895" s="299">
        <v>3740</v>
      </c>
      <c r="CO895" s="300" t="s">
        <v>244</v>
      </c>
      <c r="CP895" s="299">
        <v>755</v>
      </c>
      <c r="CQ895" s="299">
        <v>114</v>
      </c>
      <c r="CR895" s="294" t="s">
        <v>358</v>
      </c>
      <c r="CS895" s="294" t="s">
        <v>367</v>
      </c>
      <c r="CT895" s="294" t="s">
        <v>368</v>
      </c>
      <c r="CU895" s="301">
        <v>428533971000</v>
      </c>
    </row>
    <row r="896" spans="91:99">
      <c r="CM896" s="299">
        <v>2019</v>
      </c>
      <c r="CN896" s="299">
        <v>3740</v>
      </c>
      <c r="CO896" s="300" t="s">
        <v>244</v>
      </c>
      <c r="CP896" s="299">
        <v>755</v>
      </c>
      <c r="CQ896" s="299">
        <v>115</v>
      </c>
      <c r="CR896" s="294" t="s">
        <v>369</v>
      </c>
      <c r="CS896" s="294" t="s">
        <v>370</v>
      </c>
      <c r="CT896" s="294" t="s">
        <v>371</v>
      </c>
      <c r="CU896" s="301">
        <v>5636126</v>
      </c>
    </row>
    <row r="897" spans="91:99">
      <c r="CM897" s="299">
        <v>2019</v>
      </c>
      <c r="CN897" s="299">
        <v>3740</v>
      </c>
      <c r="CO897" s="300" t="s">
        <v>244</v>
      </c>
      <c r="CP897" s="299">
        <v>755</v>
      </c>
      <c r="CQ897" s="299">
        <v>116</v>
      </c>
      <c r="CR897" s="294" t="s">
        <v>369</v>
      </c>
      <c r="CS897" s="294" t="s">
        <v>372</v>
      </c>
      <c r="CT897" s="294" t="s">
        <v>373</v>
      </c>
      <c r="CU897" s="301">
        <v>723370</v>
      </c>
    </row>
    <row r="898" spans="91:99">
      <c r="CM898" s="299">
        <v>2019</v>
      </c>
      <c r="CN898" s="299">
        <v>3740</v>
      </c>
      <c r="CO898" s="300" t="s">
        <v>244</v>
      </c>
      <c r="CP898" s="299">
        <v>755</v>
      </c>
      <c r="CQ898" s="299">
        <v>117</v>
      </c>
      <c r="CR898" s="294" t="s">
        <v>374</v>
      </c>
      <c r="CS898" s="294" t="s">
        <v>375</v>
      </c>
      <c r="CT898" s="294" t="s">
        <v>376</v>
      </c>
      <c r="CU898" s="301">
        <v>2174014</v>
      </c>
    </row>
    <row r="899" spans="91:99">
      <c r="CM899" s="299">
        <v>2019</v>
      </c>
      <c r="CN899" s="299">
        <v>3740</v>
      </c>
      <c r="CO899" s="300" t="s">
        <v>244</v>
      </c>
      <c r="CP899" s="299">
        <v>755</v>
      </c>
      <c r="CQ899" s="299">
        <v>118</v>
      </c>
      <c r="CR899" s="294" t="s">
        <v>417</v>
      </c>
      <c r="CS899" s="294" t="s">
        <v>418</v>
      </c>
      <c r="CT899" s="294" t="s">
        <v>419</v>
      </c>
      <c r="CU899" s="301">
        <v>1575839</v>
      </c>
    </row>
    <row r="900" spans="91:99">
      <c r="CM900" s="299">
        <v>2019</v>
      </c>
      <c r="CN900" s="299">
        <v>3740</v>
      </c>
      <c r="CO900" s="300" t="s">
        <v>244</v>
      </c>
      <c r="CP900" s="299">
        <v>755</v>
      </c>
      <c r="CQ900" s="299">
        <v>119</v>
      </c>
      <c r="CR900" s="294" t="s">
        <v>417</v>
      </c>
      <c r="CS900" s="294" t="s">
        <v>418</v>
      </c>
      <c r="CT900" s="294" t="s">
        <v>420</v>
      </c>
      <c r="CU900" s="301">
        <v>0</v>
      </c>
    </row>
    <row r="901" spans="91:99">
      <c r="CM901" s="299">
        <v>2019</v>
      </c>
      <c r="CN901" s="299">
        <v>3740</v>
      </c>
      <c r="CO901" s="300" t="s">
        <v>244</v>
      </c>
      <c r="CP901" s="299">
        <v>755</v>
      </c>
      <c r="CQ901" s="299">
        <v>120</v>
      </c>
      <c r="CR901" s="294" t="s">
        <v>421</v>
      </c>
      <c r="CS901" s="294" t="s">
        <v>422</v>
      </c>
      <c r="CT901" s="294" t="s">
        <v>322</v>
      </c>
      <c r="CU901" s="301">
        <v>2132692</v>
      </c>
    </row>
    <row r="902" spans="91:99">
      <c r="CM902" s="299">
        <v>2019</v>
      </c>
      <c r="CN902" s="299">
        <v>3740</v>
      </c>
      <c r="CO902" s="300" t="s">
        <v>244</v>
      </c>
      <c r="CP902" s="299">
        <v>755</v>
      </c>
      <c r="CQ902" s="299">
        <v>121</v>
      </c>
      <c r="CR902" s="294" t="s">
        <v>421</v>
      </c>
      <c r="CS902" s="294" t="s">
        <v>422</v>
      </c>
      <c r="CT902" s="294" t="s">
        <v>323</v>
      </c>
      <c r="CU902" s="301">
        <v>2986539</v>
      </c>
    </row>
    <row r="903" spans="91:99">
      <c r="CM903" s="299">
        <v>2019</v>
      </c>
      <c r="CN903" s="299">
        <v>3740</v>
      </c>
      <c r="CO903" s="300" t="s">
        <v>244</v>
      </c>
      <c r="CP903" s="299">
        <v>755</v>
      </c>
      <c r="CQ903" s="299">
        <v>122</v>
      </c>
      <c r="CR903" s="294" t="s">
        <v>421</v>
      </c>
      <c r="CS903" s="294" t="s">
        <v>422</v>
      </c>
      <c r="CT903" s="294" t="s">
        <v>325</v>
      </c>
      <c r="CU903" s="301">
        <v>7747458</v>
      </c>
    </row>
    <row r="904" spans="91:99">
      <c r="CM904" s="299">
        <v>2019</v>
      </c>
      <c r="CN904" s="299">
        <v>3740</v>
      </c>
      <c r="CO904" s="300" t="s">
        <v>244</v>
      </c>
      <c r="CP904" s="299">
        <v>755</v>
      </c>
      <c r="CQ904" s="299">
        <v>123</v>
      </c>
      <c r="CR904" s="294" t="s">
        <v>423</v>
      </c>
      <c r="CS904" s="294" t="s">
        <v>424</v>
      </c>
      <c r="CT904" s="294" t="s">
        <v>425</v>
      </c>
      <c r="CU904" s="301">
        <v>6295990</v>
      </c>
    </row>
    <row r="905" spans="91:99">
      <c r="CM905" s="299">
        <v>2019</v>
      </c>
      <c r="CN905" s="299">
        <v>3740</v>
      </c>
      <c r="CO905" s="300" t="s">
        <v>244</v>
      </c>
      <c r="CP905" s="299">
        <v>755</v>
      </c>
      <c r="CQ905" s="299">
        <v>124</v>
      </c>
      <c r="CR905" s="294" t="s">
        <v>426</v>
      </c>
      <c r="CS905" s="294" t="s">
        <v>427</v>
      </c>
      <c r="CT905" s="294" t="s">
        <v>428</v>
      </c>
      <c r="CU905" s="301">
        <v>3344445</v>
      </c>
    </row>
    <row r="906" spans="91:99">
      <c r="CM906" s="299">
        <v>2019</v>
      </c>
      <c r="CN906" s="299">
        <v>3740</v>
      </c>
      <c r="CO906" s="300" t="s">
        <v>244</v>
      </c>
      <c r="CP906" s="299">
        <v>755</v>
      </c>
      <c r="CQ906" s="299">
        <v>125</v>
      </c>
      <c r="CR906" s="294" t="s">
        <v>429</v>
      </c>
      <c r="CS906" s="294" t="s">
        <v>430</v>
      </c>
      <c r="CT906" s="294" t="s">
        <v>431</v>
      </c>
      <c r="CU906" s="301">
        <v>125955</v>
      </c>
    </row>
    <row r="907" spans="91:99">
      <c r="CM907" s="299">
        <v>2019</v>
      </c>
      <c r="CN907" s="299">
        <v>3740</v>
      </c>
      <c r="CO907" s="300" t="s">
        <v>244</v>
      </c>
      <c r="CP907" s="299">
        <v>755</v>
      </c>
      <c r="CQ907" s="299">
        <v>126</v>
      </c>
      <c r="CR907" s="294" t="s">
        <v>432</v>
      </c>
      <c r="CS907" s="294" t="s">
        <v>433</v>
      </c>
      <c r="CT907" s="294" t="s">
        <v>434</v>
      </c>
      <c r="CU907" s="301">
        <v>0</v>
      </c>
    </row>
    <row r="908" spans="91:99">
      <c r="CM908" s="299">
        <v>2019</v>
      </c>
      <c r="CN908" s="299">
        <v>3740</v>
      </c>
      <c r="CO908" s="300" t="s">
        <v>244</v>
      </c>
      <c r="CP908" s="299">
        <v>755</v>
      </c>
      <c r="CQ908" s="299">
        <v>127</v>
      </c>
      <c r="CR908" s="294" t="s">
        <v>432</v>
      </c>
      <c r="CS908" s="294" t="s">
        <v>433</v>
      </c>
      <c r="CT908" s="294" t="s">
        <v>435</v>
      </c>
      <c r="CU908" s="301">
        <v>0</v>
      </c>
    </row>
    <row r="909" spans="91:99">
      <c r="CM909" s="299">
        <v>2019</v>
      </c>
      <c r="CN909" s="299">
        <v>3740</v>
      </c>
      <c r="CO909" s="300" t="s">
        <v>244</v>
      </c>
      <c r="CP909" s="299">
        <v>755</v>
      </c>
      <c r="CQ909" s="299">
        <v>128</v>
      </c>
      <c r="CR909" s="294" t="s">
        <v>432</v>
      </c>
      <c r="CS909" s="294" t="s">
        <v>433</v>
      </c>
      <c r="CT909" s="294" t="s">
        <v>158</v>
      </c>
      <c r="CU909" s="301">
        <v>63855088</v>
      </c>
    </row>
    <row r="910" spans="91:99">
      <c r="CM910" s="299">
        <v>2019</v>
      </c>
      <c r="CN910" s="299">
        <v>3740</v>
      </c>
      <c r="CO910" s="300" t="s">
        <v>244</v>
      </c>
      <c r="CP910" s="299">
        <v>755</v>
      </c>
      <c r="CQ910" s="299">
        <v>129</v>
      </c>
      <c r="CR910" s="294" t="s">
        <v>432</v>
      </c>
      <c r="CS910" s="294" t="s">
        <v>433</v>
      </c>
      <c r="CT910" s="294" t="s">
        <v>436</v>
      </c>
      <c r="CU910" s="301">
        <v>63855088</v>
      </c>
    </row>
    <row r="911" spans="91:99">
      <c r="CM911" s="299">
        <v>2019</v>
      </c>
      <c r="CN911" s="299">
        <v>3740</v>
      </c>
      <c r="CO911" s="300" t="s">
        <v>244</v>
      </c>
      <c r="CP911" s="299">
        <v>755</v>
      </c>
      <c r="CQ911" s="299">
        <v>130</v>
      </c>
      <c r="CR911" s="294" t="s">
        <v>437</v>
      </c>
      <c r="CS911" s="294" t="s">
        <v>438</v>
      </c>
      <c r="CT911" s="294" t="s">
        <v>439</v>
      </c>
      <c r="CU911" s="301">
        <v>30226</v>
      </c>
    </row>
    <row r="912" spans="91:99">
      <c r="CM912" s="299">
        <v>2019</v>
      </c>
      <c r="CN912" s="299">
        <v>3740</v>
      </c>
      <c r="CO912" s="300" t="s">
        <v>244</v>
      </c>
      <c r="CP912" s="299">
        <v>755</v>
      </c>
      <c r="CQ912" s="299">
        <v>131</v>
      </c>
      <c r="CR912" s="294" t="s">
        <v>437</v>
      </c>
      <c r="CS912" s="294" t="s">
        <v>438</v>
      </c>
      <c r="CT912" s="294" t="s">
        <v>440</v>
      </c>
      <c r="CU912" s="301">
        <v>0</v>
      </c>
    </row>
    <row r="913" spans="91:99">
      <c r="CM913" s="299">
        <v>2019</v>
      </c>
      <c r="CN913" s="299">
        <v>3740</v>
      </c>
      <c r="CO913" s="300" t="s">
        <v>244</v>
      </c>
      <c r="CP913" s="299">
        <v>755</v>
      </c>
      <c r="CQ913" s="299">
        <v>132</v>
      </c>
      <c r="CR913" s="294" t="s">
        <v>437</v>
      </c>
      <c r="CS913" s="294" t="s">
        <v>441</v>
      </c>
      <c r="CT913" s="294" t="s">
        <v>442</v>
      </c>
      <c r="CU913" s="301">
        <v>0</v>
      </c>
    </row>
    <row r="914" spans="91:99">
      <c r="CM914" s="299">
        <v>2019</v>
      </c>
      <c r="CN914" s="299">
        <v>3740</v>
      </c>
      <c r="CO914" s="300" t="s">
        <v>244</v>
      </c>
      <c r="CP914" s="299">
        <v>755</v>
      </c>
      <c r="CQ914" s="299">
        <v>133</v>
      </c>
      <c r="CR914" s="294" t="s">
        <v>437</v>
      </c>
      <c r="CS914" s="294" t="s">
        <v>443</v>
      </c>
      <c r="CT914" s="294" t="s">
        <v>444</v>
      </c>
      <c r="CU914" s="301">
        <v>30226</v>
      </c>
    </row>
    <row r="915" spans="91:99">
      <c r="CM915" s="299">
        <v>2019</v>
      </c>
      <c r="CN915" s="299">
        <v>3740</v>
      </c>
      <c r="CO915" s="300" t="s">
        <v>244</v>
      </c>
      <c r="CP915" s="299">
        <v>755</v>
      </c>
      <c r="CQ915" s="299">
        <v>134</v>
      </c>
      <c r="CR915" s="294" t="s">
        <v>445</v>
      </c>
      <c r="CS915" s="294" t="s">
        <v>446</v>
      </c>
      <c r="CT915" s="294" t="s">
        <v>447</v>
      </c>
      <c r="CU915" s="301">
        <v>460</v>
      </c>
    </row>
  </sheetData>
  <sortState xmlns:xlrd2="http://schemas.microsoft.com/office/spreadsheetml/2017/richdata2" ref="FH94:FS395">
    <sortCondition descending="1" ref="FS94:FS395"/>
    <sortCondition ref="FK94:FK395"/>
  </sortState>
  <mergeCells count="12">
    <mergeCell ref="DD339:DF339"/>
    <mergeCell ref="ED1:EF1"/>
    <mergeCell ref="EJ1:EN1"/>
    <mergeCell ref="EO1:ET1"/>
    <mergeCell ref="EU1:EZ1"/>
    <mergeCell ref="BY123:BZ123"/>
    <mergeCell ref="CC84:CF84"/>
    <mergeCell ref="FA1:FF1"/>
    <mergeCell ref="AI31:AL31"/>
    <mergeCell ref="BS31:BV31"/>
    <mergeCell ref="BY30:CB30"/>
    <mergeCell ref="CY1:DB1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06C2-538C-4347-9474-907A3C3F2B4E}">
  <sheetPr>
    <tabColor theme="6" tint="-0.499984740745262"/>
  </sheetPr>
  <dimension ref="A1:W264"/>
  <sheetViews>
    <sheetView workbookViewId="0">
      <selection activeCell="G14" sqref="G14"/>
    </sheetView>
  </sheetViews>
  <sheetFormatPr baseColWidth="10" defaultRowHeight="16"/>
  <cols>
    <col min="3" max="3" width="10.83203125" style="362"/>
    <col min="4" max="4" width="14" style="362" bestFit="1" customWidth="1"/>
    <col min="5" max="5" width="13" style="362" bestFit="1" customWidth="1"/>
    <col min="6" max="6" width="17.6640625" style="362" bestFit="1" customWidth="1"/>
    <col min="7" max="7" width="15" style="362" bestFit="1" customWidth="1"/>
    <col min="8" max="8" width="5.5" style="253" customWidth="1"/>
    <col min="11" max="11" width="12.1640625" bestFit="1" customWidth="1"/>
    <col min="12" max="12" width="14.6640625" bestFit="1" customWidth="1"/>
    <col min="15" max="15" width="18.6640625" customWidth="1"/>
    <col min="16" max="16" width="39.6640625" customWidth="1"/>
    <col min="17" max="19" width="13.6640625" bestFit="1" customWidth="1"/>
    <col min="20" max="20" width="12.1640625" bestFit="1" customWidth="1"/>
    <col min="21" max="21" width="13.6640625" bestFit="1" customWidth="1"/>
    <col min="22" max="22" width="11.1640625" bestFit="1" customWidth="1"/>
    <col min="23" max="23" width="13.6640625" bestFit="1" customWidth="1"/>
  </cols>
  <sheetData>
    <row r="1" spans="1:12" ht="19">
      <c r="A1" s="252" t="s">
        <v>503</v>
      </c>
    </row>
    <row r="2" spans="1:12">
      <c r="A2" s="2" t="s">
        <v>504</v>
      </c>
    </row>
    <row r="4" spans="1:12" ht="17">
      <c r="B4" t="s">
        <v>505</v>
      </c>
      <c r="C4" s="363" t="s">
        <v>99</v>
      </c>
      <c r="D4" s="363"/>
      <c r="E4" s="363"/>
      <c r="F4" s="363"/>
      <c r="G4" s="363"/>
    </row>
    <row r="5" spans="1:12" ht="85">
      <c r="C5" s="363" t="s">
        <v>511</v>
      </c>
      <c r="D5" s="363" t="s">
        <v>512</v>
      </c>
      <c r="E5" s="363" t="s">
        <v>515</v>
      </c>
      <c r="F5" s="363" t="s">
        <v>513</v>
      </c>
      <c r="G5" s="363" t="s">
        <v>514</v>
      </c>
      <c r="J5" s="363" t="s">
        <v>538</v>
      </c>
      <c r="K5" s="363" t="s">
        <v>539</v>
      </c>
      <c r="L5" s="363" t="s">
        <v>540</v>
      </c>
    </row>
    <row r="6" spans="1:12">
      <c r="C6" s="364" t="s">
        <v>507</v>
      </c>
      <c r="D6" s="364" t="s">
        <v>508</v>
      </c>
      <c r="E6" s="364" t="s">
        <v>509</v>
      </c>
      <c r="F6" s="364" t="s">
        <v>510</v>
      </c>
    </row>
    <row r="7" spans="1:12">
      <c r="B7" t="s">
        <v>254</v>
      </c>
      <c r="C7" s="366">
        <v>18206</v>
      </c>
      <c r="D7" s="366">
        <v>28906184</v>
      </c>
      <c r="E7" s="366">
        <v>4158835</v>
      </c>
      <c r="F7" s="365">
        <v>1868208000</v>
      </c>
      <c r="G7" s="365">
        <f>L7</f>
        <v>702542235.27291811</v>
      </c>
      <c r="I7" t="s">
        <v>254</v>
      </c>
      <c r="J7" s="386">
        <f>F7/(Q143+Q159)</f>
        <v>0.82108277684945008</v>
      </c>
      <c r="K7" s="261">
        <f>W138+W154</f>
        <v>855629000</v>
      </c>
      <c r="L7" s="261">
        <f>J7*K7</f>
        <v>702542235.27291811</v>
      </c>
    </row>
    <row r="8" spans="1:12">
      <c r="B8" t="s">
        <v>255</v>
      </c>
      <c r="C8" s="366">
        <v>2772</v>
      </c>
      <c r="D8" s="366">
        <v>4970978</v>
      </c>
      <c r="E8" s="366">
        <v>326817</v>
      </c>
      <c r="F8" s="365">
        <v>314922000</v>
      </c>
      <c r="G8" s="365">
        <f t="shared" ref="G8:G13" si="0">L8</f>
        <v>131581468.40973364</v>
      </c>
      <c r="I8" t="s">
        <v>255</v>
      </c>
      <c r="J8" s="386">
        <f>F8/(Q38+Q54)</f>
        <v>0.88881174538126773</v>
      </c>
      <c r="K8" s="261">
        <f>W33+W49</f>
        <v>148042000</v>
      </c>
      <c r="L8" s="261">
        <f t="shared" ref="L8:L13" si="1">J8*K8</f>
        <v>131581468.40973364</v>
      </c>
    </row>
    <row r="9" spans="1:12">
      <c r="B9" t="s">
        <v>252</v>
      </c>
      <c r="C9" s="366">
        <v>1167</v>
      </c>
      <c r="D9" s="366">
        <v>2543704</v>
      </c>
      <c r="E9" s="366">
        <v>203753</v>
      </c>
      <c r="F9" s="365">
        <v>120642000</v>
      </c>
      <c r="G9" s="365">
        <f t="shared" si="0"/>
        <v>41062252.377663247</v>
      </c>
      <c r="I9" t="s">
        <v>252</v>
      </c>
      <c r="J9" s="386">
        <f>F9/(Q213+Q229)</f>
        <v>0.71221862104386946</v>
      </c>
      <c r="K9" s="261">
        <f>W208+W224</f>
        <v>57654000</v>
      </c>
      <c r="L9" s="261">
        <f t="shared" si="1"/>
        <v>41062252.377663247</v>
      </c>
    </row>
    <row r="10" spans="1:12">
      <c r="B10" t="s">
        <v>506</v>
      </c>
      <c r="C10" s="366">
        <v>7645</v>
      </c>
      <c r="D10" s="366">
        <v>12048227</v>
      </c>
      <c r="E10" s="366">
        <v>1329683</v>
      </c>
      <c r="F10" s="365">
        <v>724620000</v>
      </c>
      <c r="G10" s="365">
        <f t="shared" si="0"/>
        <v>341224505.00947082</v>
      </c>
      <c r="I10" t="s">
        <v>506</v>
      </c>
      <c r="J10" s="386">
        <f>F10/(Q108+Q124)</f>
        <v>0.80078595535791253</v>
      </c>
      <c r="K10" s="261">
        <f>W103+W119</f>
        <v>426112000</v>
      </c>
      <c r="L10" s="261">
        <f t="shared" si="1"/>
        <v>341224505.00947082</v>
      </c>
    </row>
    <row r="11" spans="1:12">
      <c r="B11" t="s">
        <v>253</v>
      </c>
      <c r="C11" s="366">
        <v>1288</v>
      </c>
      <c r="D11" s="366">
        <v>2515622</v>
      </c>
      <c r="E11" s="366">
        <v>239320</v>
      </c>
      <c r="F11" s="365">
        <v>116265000</v>
      </c>
      <c r="G11" s="365">
        <f t="shared" si="0"/>
        <v>40157546.9130788</v>
      </c>
      <c r="I11" t="s">
        <v>253</v>
      </c>
      <c r="J11" s="386">
        <f>F11/(Q178+Q194)</f>
        <v>0.78706336311941516</v>
      </c>
      <c r="K11" s="261">
        <f>W173+W189</f>
        <v>51022000</v>
      </c>
      <c r="L11" s="261">
        <f t="shared" si="1"/>
        <v>40157546.9130788</v>
      </c>
    </row>
    <row r="12" spans="1:12">
      <c r="B12" t="s">
        <v>258</v>
      </c>
      <c r="C12" s="366">
        <v>10372</v>
      </c>
      <c r="D12" s="366">
        <v>16414719</v>
      </c>
      <c r="E12" s="366">
        <v>2178785</v>
      </c>
      <c r="F12" s="365">
        <v>899516000</v>
      </c>
      <c r="G12" s="365">
        <f t="shared" si="0"/>
        <v>417577860.68237668</v>
      </c>
      <c r="I12" t="s">
        <v>258</v>
      </c>
      <c r="J12" s="386">
        <f>F12/(Q73+Q89)</f>
        <v>0.84883382969648247</v>
      </c>
      <c r="K12" s="261">
        <f>W68+W84</f>
        <v>491943000</v>
      </c>
      <c r="L12" s="261">
        <f t="shared" si="1"/>
        <v>417577860.68237668</v>
      </c>
    </row>
    <row r="13" spans="1:12">
      <c r="B13" t="s">
        <v>244</v>
      </c>
      <c r="C13" s="366">
        <v>17123</v>
      </c>
      <c r="D13" s="366">
        <v>26570068</v>
      </c>
      <c r="E13" s="366">
        <v>3098176</v>
      </c>
      <c r="F13" s="365">
        <v>1549781000</v>
      </c>
      <c r="G13" s="365">
        <f t="shared" si="0"/>
        <v>635551399.66864836</v>
      </c>
      <c r="I13" t="s">
        <v>244</v>
      </c>
      <c r="J13" s="386">
        <f>F13/(Q248+Q264+V248+V264)</f>
        <v>0.82799477274475775</v>
      </c>
      <c r="K13" s="261">
        <f>W243+W259</f>
        <v>767579000</v>
      </c>
      <c r="L13" s="261">
        <f t="shared" si="1"/>
        <v>635551399.66864836</v>
      </c>
    </row>
    <row r="14" spans="1:12">
      <c r="B14" t="s">
        <v>283</v>
      </c>
      <c r="C14" s="366">
        <f>SUM(C7:C13)</f>
        <v>58573</v>
      </c>
      <c r="D14" s="366">
        <f t="shared" ref="D14:G14" si="2">SUM(D7:D13)</f>
        <v>93969502</v>
      </c>
      <c r="E14" s="366">
        <f t="shared" si="2"/>
        <v>11535369</v>
      </c>
      <c r="F14" s="366">
        <f t="shared" si="2"/>
        <v>5593954000</v>
      </c>
      <c r="G14" s="365">
        <f t="shared" si="2"/>
        <v>2309697268.3338895</v>
      </c>
    </row>
    <row r="19" spans="10:23" ht="48">
      <c r="J19" s="378" t="s">
        <v>2</v>
      </c>
      <c r="K19" s="378" t="s">
        <v>266</v>
      </c>
      <c r="L19" s="378" t="s">
        <v>267</v>
      </c>
      <c r="M19" s="379" t="s">
        <v>98</v>
      </c>
      <c r="N19" s="380" t="s">
        <v>99</v>
      </c>
      <c r="O19" s="381" t="s">
        <v>268</v>
      </c>
      <c r="P19" s="381" t="s">
        <v>269</v>
      </c>
      <c r="Q19" s="382" t="s">
        <v>270</v>
      </c>
      <c r="R19" s="383" t="s">
        <v>271</v>
      </c>
      <c r="S19" s="383" t="s">
        <v>272</v>
      </c>
      <c r="T19" s="383" t="s">
        <v>273</v>
      </c>
      <c r="U19" s="384" t="s">
        <v>274</v>
      </c>
      <c r="V19" s="385" t="s">
        <v>307</v>
      </c>
      <c r="W19" s="385" t="s">
        <v>283</v>
      </c>
    </row>
    <row r="20" spans="10:23" ht="16" customHeight="1">
      <c r="J20" s="254">
        <v>2019</v>
      </c>
      <c r="K20" s="254">
        <v>1370</v>
      </c>
      <c r="L20" s="255" t="s">
        <v>255</v>
      </c>
      <c r="M20" s="254">
        <v>410</v>
      </c>
      <c r="N20" s="254">
        <v>401</v>
      </c>
      <c r="O20" s="367" t="s">
        <v>516</v>
      </c>
      <c r="P20" s="367" t="s">
        <v>203</v>
      </c>
      <c r="Q20" s="265">
        <v>13421000</v>
      </c>
      <c r="R20" s="265">
        <v>1111000</v>
      </c>
      <c r="S20" s="265">
        <v>1433000</v>
      </c>
      <c r="T20" s="265">
        <v>402000</v>
      </c>
      <c r="U20" s="265">
        <v>16367000</v>
      </c>
      <c r="V20" s="265">
        <v>0</v>
      </c>
      <c r="W20" s="265">
        <v>16367000</v>
      </c>
    </row>
    <row r="21" spans="10:23" ht="16" customHeight="1">
      <c r="J21" s="254">
        <v>2019</v>
      </c>
      <c r="K21" s="254">
        <v>1370</v>
      </c>
      <c r="L21" s="255" t="s">
        <v>255</v>
      </c>
      <c r="M21" s="254">
        <v>410</v>
      </c>
      <c r="N21" s="254">
        <v>402</v>
      </c>
      <c r="O21" s="367" t="s">
        <v>516</v>
      </c>
      <c r="P21" s="367" t="s">
        <v>517</v>
      </c>
      <c r="Q21" s="265">
        <v>110585000</v>
      </c>
      <c r="R21" s="265">
        <v>18000</v>
      </c>
      <c r="S21" s="265">
        <v>11102000</v>
      </c>
      <c r="T21" s="265">
        <v>0</v>
      </c>
      <c r="U21" s="265">
        <v>121705000</v>
      </c>
      <c r="V21" s="265">
        <v>0</v>
      </c>
      <c r="W21" s="265">
        <v>121705000</v>
      </c>
    </row>
    <row r="22" spans="10:23" ht="16" customHeight="1">
      <c r="J22" s="254">
        <v>2019</v>
      </c>
      <c r="K22" s="254">
        <v>1370</v>
      </c>
      <c r="L22" s="255" t="s">
        <v>255</v>
      </c>
      <c r="M22" s="254">
        <v>410</v>
      </c>
      <c r="N22" s="254">
        <v>403</v>
      </c>
      <c r="O22" s="367" t="s">
        <v>516</v>
      </c>
      <c r="P22" s="367" t="s">
        <v>518</v>
      </c>
      <c r="Q22" s="265">
        <v>111613000</v>
      </c>
      <c r="R22" s="265">
        <v>18000</v>
      </c>
      <c r="S22" s="265">
        <v>11452000</v>
      </c>
      <c r="T22" s="265">
        <v>0</v>
      </c>
      <c r="U22" s="265">
        <v>123083000</v>
      </c>
      <c r="V22" s="265">
        <v>0</v>
      </c>
      <c r="W22" s="265">
        <v>123083000</v>
      </c>
    </row>
    <row r="23" spans="10:23" ht="16" customHeight="1">
      <c r="J23" s="254">
        <v>2019</v>
      </c>
      <c r="K23" s="254">
        <v>1370</v>
      </c>
      <c r="L23" s="255" t="s">
        <v>255</v>
      </c>
      <c r="M23" s="254">
        <v>410</v>
      </c>
      <c r="N23" s="254">
        <v>404</v>
      </c>
      <c r="O23" s="367" t="s">
        <v>516</v>
      </c>
      <c r="P23" s="367" t="s">
        <v>519</v>
      </c>
      <c r="Q23" s="265">
        <v>8958000</v>
      </c>
      <c r="R23" s="265">
        <v>28000</v>
      </c>
      <c r="S23" s="265">
        <v>26000</v>
      </c>
      <c r="T23" s="265">
        <v>91000</v>
      </c>
      <c r="U23" s="265">
        <v>9103000</v>
      </c>
      <c r="V23" s="265">
        <v>0</v>
      </c>
      <c r="W23" s="265">
        <v>9103000</v>
      </c>
    </row>
    <row r="24" spans="10:23" ht="16" customHeight="1">
      <c r="J24" s="254">
        <v>2019</v>
      </c>
      <c r="K24" s="254">
        <v>1370</v>
      </c>
      <c r="L24" s="255" t="s">
        <v>255</v>
      </c>
      <c r="M24" s="254">
        <v>410</v>
      </c>
      <c r="N24" s="254">
        <v>405</v>
      </c>
      <c r="O24" s="367" t="s">
        <v>516</v>
      </c>
      <c r="P24" s="367" t="s">
        <v>520</v>
      </c>
      <c r="Q24" s="265">
        <v>0</v>
      </c>
      <c r="R24" s="265">
        <v>0</v>
      </c>
      <c r="S24" s="265">
        <v>0</v>
      </c>
      <c r="T24" s="265">
        <v>0</v>
      </c>
      <c r="U24" s="265">
        <v>0</v>
      </c>
      <c r="V24" s="265">
        <v>0</v>
      </c>
      <c r="W24" s="265">
        <v>0</v>
      </c>
    </row>
    <row r="25" spans="10:23" ht="16" customHeight="1">
      <c r="J25" s="254">
        <v>2019</v>
      </c>
      <c r="K25" s="254">
        <v>1370</v>
      </c>
      <c r="L25" s="255" t="s">
        <v>255</v>
      </c>
      <c r="M25" s="254">
        <v>410</v>
      </c>
      <c r="N25" s="254">
        <v>406</v>
      </c>
      <c r="O25" s="367" t="s">
        <v>516</v>
      </c>
      <c r="P25" s="367" t="s">
        <v>521</v>
      </c>
      <c r="Q25" s="265">
        <v>0</v>
      </c>
      <c r="R25" s="265">
        <v>0</v>
      </c>
      <c r="S25" s="265">
        <v>0</v>
      </c>
      <c r="T25" s="265">
        <v>0</v>
      </c>
      <c r="U25" s="265">
        <v>0</v>
      </c>
      <c r="V25" s="265">
        <v>0</v>
      </c>
      <c r="W25" s="265">
        <v>0</v>
      </c>
    </row>
    <row r="26" spans="10:23" ht="16" customHeight="1">
      <c r="J26" s="254">
        <v>2019</v>
      </c>
      <c r="K26" s="254">
        <v>1370</v>
      </c>
      <c r="L26" s="255" t="s">
        <v>255</v>
      </c>
      <c r="M26" s="254">
        <v>410</v>
      </c>
      <c r="N26" s="254">
        <v>407</v>
      </c>
      <c r="O26" s="367" t="s">
        <v>516</v>
      </c>
      <c r="P26" s="367" t="s">
        <v>522</v>
      </c>
      <c r="Q26" s="265">
        <v>0</v>
      </c>
      <c r="R26" s="265">
        <v>0</v>
      </c>
      <c r="S26" s="265">
        <v>0</v>
      </c>
      <c r="T26" s="265">
        <v>0</v>
      </c>
      <c r="U26" s="265">
        <v>0</v>
      </c>
      <c r="V26" s="265">
        <v>0</v>
      </c>
      <c r="W26" s="265">
        <v>0</v>
      </c>
    </row>
    <row r="27" spans="10:23" ht="16" customHeight="1">
      <c r="J27" s="254">
        <v>2019</v>
      </c>
      <c r="K27" s="254">
        <v>1370</v>
      </c>
      <c r="L27" s="255" t="s">
        <v>255</v>
      </c>
      <c r="M27" s="254">
        <v>410</v>
      </c>
      <c r="N27" s="254">
        <v>408</v>
      </c>
      <c r="O27" s="367" t="s">
        <v>516</v>
      </c>
      <c r="P27" s="367" t="s">
        <v>523</v>
      </c>
      <c r="Q27" s="265">
        <v>17028000</v>
      </c>
      <c r="R27" s="265">
        <v>0</v>
      </c>
      <c r="S27" s="265">
        <v>0</v>
      </c>
      <c r="T27" s="265">
        <v>0</v>
      </c>
      <c r="U27" s="265">
        <v>17028000</v>
      </c>
      <c r="V27" s="265">
        <v>0</v>
      </c>
      <c r="W27" s="265">
        <v>17028000</v>
      </c>
    </row>
    <row r="28" spans="10:23" ht="16" customHeight="1">
      <c r="J28" s="254">
        <v>2019</v>
      </c>
      <c r="K28" s="254">
        <v>1370</v>
      </c>
      <c r="L28" s="255" t="s">
        <v>255</v>
      </c>
      <c r="M28" s="254">
        <v>410</v>
      </c>
      <c r="N28" s="254">
        <v>409</v>
      </c>
      <c r="O28" s="367" t="s">
        <v>516</v>
      </c>
      <c r="P28" s="367" t="s">
        <v>524</v>
      </c>
      <c r="Q28" s="265">
        <v>0</v>
      </c>
      <c r="R28" s="265">
        <v>236381000</v>
      </c>
      <c r="S28" s="265">
        <v>92000</v>
      </c>
      <c r="T28" s="265">
        <v>0</v>
      </c>
      <c r="U28" s="265">
        <v>236473000</v>
      </c>
      <c r="V28" s="265">
        <v>0</v>
      </c>
      <c r="W28" s="265">
        <v>236473000</v>
      </c>
    </row>
    <row r="29" spans="10:23" ht="16" customHeight="1">
      <c r="J29" s="254">
        <v>2019</v>
      </c>
      <c r="K29" s="254">
        <v>1370</v>
      </c>
      <c r="L29" s="255" t="s">
        <v>255</v>
      </c>
      <c r="M29" s="254">
        <v>410</v>
      </c>
      <c r="N29" s="254">
        <v>410</v>
      </c>
      <c r="O29" s="367" t="s">
        <v>516</v>
      </c>
      <c r="P29" s="367" t="s">
        <v>525</v>
      </c>
      <c r="Q29" s="265">
        <v>0</v>
      </c>
      <c r="R29" s="265">
        <v>0</v>
      </c>
      <c r="S29" s="265">
        <v>0</v>
      </c>
      <c r="T29" s="265">
        <v>0</v>
      </c>
      <c r="U29" s="265">
        <v>0</v>
      </c>
      <c r="V29" s="265">
        <v>0</v>
      </c>
      <c r="W29" s="265">
        <v>0</v>
      </c>
    </row>
    <row r="30" spans="10:23" ht="16" customHeight="1">
      <c r="J30" s="254">
        <v>2019</v>
      </c>
      <c r="K30" s="254">
        <v>1370</v>
      </c>
      <c r="L30" s="255" t="s">
        <v>255</v>
      </c>
      <c r="M30" s="254">
        <v>410</v>
      </c>
      <c r="N30" s="254">
        <v>411</v>
      </c>
      <c r="O30" s="367" t="s">
        <v>516</v>
      </c>
      <c r="P30" s="367" t="s">
        <v>526</v>
      </c>
      <c r="Q30" s="265">
        <v>9855000</v>
      </c>
      <c r="R30" s="265">
        <v>0</v>
      </c>
      <c r="S30" s="265">
        <v>0</v>
      </c>
      <c r="T30" s="265">
        <v>0</v>
      </c>
      <c r="U30" s="265">
        <v>9855000</v>
      </c>
      <c r="V30" s="265">
        <v>0</v>
      </c>
      <c r="W30" s="265">
        <v>9855000</v>
      </c>
    </row>
    <row r="31" spans="10:23" ht="16" customHeight="1">
      <c r="J31" s="254">
        <v>2019</v>
      </c>
      <c r="K31" s="254">
        <v>1370</v>
      </c>
      <c r="L31" s="255" t="s">
        <v>255</v>
      </c>
      <c r="M31" s="254">
        <v>410</v>
      </c>
      <c r="N31" s="254">
        <v>412</v>
      </c>
      <c r="O31" s="367" t="s">
        <v>516</v>
      </c>
      <c r="P31" s="367" t="s">
        <v>527</v>
      </c>
      <c r="Q31" s="265">
        <v>0</v>
      </c>
      <c r="R31" s="265">
        <v>0</v>
      </c>
      <c r="S31" s="265">
        <v>0</v>
      </c>
      <c r="T31" s="265">
        <v>0</v>
      </c>
      <c r="U31" s="265">
        <v>0</v>
      </c>
      <c r="V31" s="265">
        <v>0</v>
      </c>
      <c r="W31" s="265">
        <v>0</v>
      </c>
    </row>
    <row r="32" spans="10:23" ht="16" customHeight="1">
      <c r="J32" s="254">
        <v>2019</v>
      </c>
      <c r="K32" s="254">
        <v>1370</v>
      </c>
      <c r="L32" s="255" t="s">
        <v>255</v>
      </c>
      <c r="M32" s="254">
        <v>410</v>
      </c>
      <c r="N32" s="254">
        <v>413</v>
      </c>
      <c r="O32" s="367" t="s">
        <v>516</v>
      </c>
      <c r="P32" s="367" t="s">
        <v>528</v>
      </c>
      <c r="Q32" s="265">
        <v>0</v>
      </c>
      <c r="R32" s="265">
        <v>650000</v>
      </c>
      <c r="S32" s="265">
        <v>5865000</v>
      </c>
      <c r="T32" s="265">
        <v>0</v>
      </c>
      <c r="U32" s="265">
        <v>6515000</v>
      </c>
      <c r="V32" s="265">
        <v>0</v>
      </c>
      <c r="W32" s="265">
        <v>6515000</v>
      </c>
    </row>
    <row r="33" spans="10:23" ht="16" customHeight="1">
      <c r="J33" s="254">
        <v>2019</v>
      </c>
      <c r="K33" s="254">
        <v>1370</v>
      </c>
      <c r="L33" s="255" t="s">
        <v>255</v>
      </c>
      <c r="M33" s="254">
        <v>410</v>
      </c>
      <c r="N33" s="254">
        <v>414</v>
      </c>
      <c r="O33" s="367" t="s">
        <v>516</v>
      </c>
      <c r="P33" s="367" t="s">
        <v>200</v>
      </c>
      <c r="Q33" s="265">
        <v>0</v>
      </c>
      <c r="R33" s="265">
        <v>0</v>
      </c>
      <c r="S33" s="265">
        <v>0</v>
      </c>
      <c r="T33" s="265">
        <v>114373000</v>
      </c>
      <c r="U33" s="265">
        <v>114373000</v>
      </c>
      <c r="V33" s="265">
        <v>0</v>
      </c>
      <c r="W33" s="265">
        <v>114373000</v>
      </c>
    </row>
    <row r="34" spans="10:23" ht="16" customHeight="1">
      <c r="J34" s="254">
        <v>2019</v>
      </c>
      <c r="K34" s="254">
        <v>1370</v>
      </c>
      <c r="L34" s="255" t="s">
        <v>255</v>
      </c>
      <c r="M34" s="254">
        <v>410</v>
      </c>
      <c r="N34" s="254">
        <v>415</v>
      </c>
      <c r="O34" s="367" t="s">
        <v>516</v>
      </c>
      <c r="P34" s="367" t="s">
        <v>201</v>
      </c>
      <c r="Q34" s="265">
        <v>0</v>
      </c>
      <c r="R34" s="265">
        <v>0</v>
      </c>
      <c r="S34" s="265">
        <v>0</v>
      </c>
      <c r="T34" s="265">
        <v>8350000</v>
      </c>
      <c r="U34" s="265">
        <v>8350000</v>
      </c>
      <c r="V34" s="265">
        <v>0</v>
      </c>
      <c r="W34" s="265">
        <v>8350000</v>
      </c>
    </row>
    <row r="35" spans="10:23" ht="16" customHeight="1">
      <c r="J35" s="254">
        <v>2019</v>
      </c>
      <c r="K35" s="254">
        <v>1370</v>
      </c>
      <c r="L35" s="255" t="s">
        <v>255</v>
      </c>
      <c r="M35" s="254">
        <v>410</v>
      </c>
      <c r="N35" s="254">
        <v>416</v>
      </c>
      <c r="O35" s="367" t="s">
        <v>516</v>
      </c>
      <c r="P35" s="367" t="s">
        <v>529</v>
      </c>
      <c r="Q35" s="265">
        <v>0</v>
      </c>
      <c r="R35" s="265">
        <v>0</v>
      </c>
      <c r="S35" s="265">
        <v>5663000</v>
      </c>
      <c r="T35" s="265">
        <v>0</v>
      </c>
      <c r="U35" s="265">
        <v>5663000</v>
      </c>
      <c r="V35" s="265">
        <v>0</v>
      </c>
      <c r="W35" s="265">
        <v>5663000</v>
      </c>
    </row>
    <row r="36" spans="10:23" ht="16" customHeight="1">
      <c r="J36" s="254">
        <v>2019</v>
      </c>
      <c r="K36" s="254">
        <v>1370</v>
      </c>
      <c r="L36" s="255" t="s">
        <v>255</v>
      </c>
      <c r="M36" s="254">
        <v>410</v>
      </c>
      <c r="N36" s="254">
        <v>417</v>
      </c>
      <c r="O36" s="367" t="s">
        <v>516</v>
      </c>
      <c r="P36" s="367" t="s">
        <v>153</v>
      </c>
      <c r="Q36" s="265">
        <v>0</v>
      </c>
      <c r="R36" s="265">
        <v>0</v>
      </c>
      <c r="S36" s="265">
        <v>-6950000</v>
      </c>
      <c r="T36" s="265">
        <v>0</v>
      </c>
      <c r="U36" s="265">
        <v>-6950000</v>
      </c>
      <c r="V36" s="265">
        <v>0</v>
      </c>
      <c r="W36" s="265">
        <v>-6950000</v>
      </c>
    </row>
    <row r="37" spans="10:23" ht="16" customHeight="1">
      <c r="J37" s="254">
        <v>2019</v>
      </c>
      <c r="K37" s="254">
        <v>1370</v>
      </c>
      <c r="L37" s="255" t="s">
        <v>255</v>
      </c>
      <c r="M37" s="254">
        <v>410</v>
      </c>
      <c r="N37" s="254">
        <v>418</v>
      </c>
      <c r="O37" s="367" t="s">
        <v>516</v>
      </c>
      <c r="P37" s="367" t="s">
        <v>158</v>
      </c>
      <c r="Q37" s="265">
        <v>2298000</v>
      </c>
      <c r="R37" s="265">
        <v>520000</v>
      </c>
      <c r="S37" s="265">
        <v>304000</v>
      </c>
      <c r="T37" s="265">
        <v>180000</v>
      </c>
      <c r="U37" s="265">
        <v>3302000</v>
      </c>
      <c r="V37" s="265">
        <v>0</v>
      </c>
      <c r="W37" s="265">
        <v>3302000</v>
      </c>
    </row>
    <row r="38" spans="10:23" ht="16" customHeight="1">
      <c r="J38" s="254">
        <v>2019</v>
      </c>
      <c r="K38" s="254">
        <v>1370</v>
      </c>
      <c r="L38" s="255" t="s">
        <v>255</v>
      </c>
      <c r="M38" s="254">
        <v>410</v>
      </c>
      <c r="N38" s="254">
        <v>419</v>
      </c>
      <c r="O38" s="367" t="s">
        <v>516</v>
      </c>
      <c r="P38" s="367" t="s">
        <v>530</v>
      </c>
      <c r="Q38" s="265">
        <v>273758000</v>
      </c>
      <c r="R38" s="265">
        <v>238726000</v>
      </c>
      <c r="S38" s="265">
        <v>28987000</v>
      </c>
      <c r="T38" s="265">
        <v>123396000</v>
      </c>
      <c r="U38" s="265">
        <v>664867000</v>
      </c>
      <c r="V38" s="265">
        <v>0</v>
      </c>
      <c r="W38" s="265">
        <v>664867000</v>
      </c>
    </row>
    <row r="39" spans="10:23" ht="16" customHeight="1">
      <c r="J39" s="254">
        <v>2019</v>
      </c>
      <c r="K39" s="254">
        <v>1370</v>
      </c>
      <c r="L39" s="255" t="s">
        <v>255</v>
      </c>
      <c r="M39" s="254">
        <v>410</v>
      </c>
      <c r="N39" s="254">
        <v>420</v>
      </c>
      <c r="O39" s="367" t="s">
        <v>531</v>
      </c>
      <c r="P39" s="367" t="s">
        <v>203</v>
      </c>
      <c r="Q39" s="265">
        <v>277000</v>
      </c>
      <c r="R39" s="265">
        <v>118000</v>
      </c>
      <c r="S39" s="265">
        <v>99000</v>
      </c>
      <c r="T39" s="265">
        <v>9000</v>
      </c>
      <c r="U39" s="265">
        <v>503000</v>
      </c>
      <c r="V39" s="265">
        <v>0</v>
      </c>
      <c r="W39" s="265">
        <v>503000</v>
      </c>
    </row>
    <row r="40" spans="10:23" ht="16" customHeight="1">
      <c r="J40" s="254">
        <v>2019</v>
      </c>
      <c r="K40" s="254">
        <v>1370</v>
      </c>
      <c r="L40" s="255" t="s">
        <v>255</v>
      </c>
      <c r="M40" s="254">
        <v>410</v>
      </c>
      <c r="N40" s="254">
        <v>421</v>
      </c>
      <c r="O40" s="367" t="s">
        <v>531</v>
      </c>
      <c r="P40" s="367" t="s">
        <v>532</v>
      </c>
      <c r="Q40" s="265">
        <v>65694000</v>
      </c>
      <c r="R40" s="265">
        <v>1182000</v>
      </c>
      <c r="S40" s="265">
        <v>4045000</v>
      </c>
      <c r="T40" s="265">
        <v>180000</v>
      </c>
      <c r="U40" s="265">
        <v>71101000</v>
      </c>
      <c r="V40" s="265">
        <v>0</v>
      </c>
      <c r="W40" s="265">
        <v>71101000</v>
      </c>
    </row>
    <row r="41" spans="10:23" ht="16" customHeight="1">
      <c r="J41" s="254">
        <v>2019</v>
      </c>
      <c r="K41" s="254">
        <v>1370</v>
      </c>
      <c r="L41" s="255" t="s">
        <v>255</v>
      </c>
      <c r="M41" s="254">
        <v>410</v>
      </c>
      <c r="N41" s="254">
        <v>422</v>
      </c>
      <c r="O41" s="367" t="s">
        <v>531</v>
      </c>
      <c r="P41" s="367" t="s">
        <v>533</v>
      </c>
      <c r="Q41" s="265">
        <v>12332000</v>
      </c>
      <c r="R41" s="265">
        <v>0</v>
      </c>
      <c r="S41" s="265">
        <v>0</v>
      </c>
      <c r="T41" s="265">
        <v>0</v>
      </c>
      <c r="U41" s="265">
        <v>12332000</v>
      </c>
      <c r="V41" s="265">
        <v>0</v>
      </c>
      <c r="W41" s="265">
        <v>12332000</v>
      </c>
    </row>
    <row r="42" spans="10:23" ht="16" customHeight="1">
      <c r="J42" s="254">
        <v>2019</v>
      </c>
      <c r="K42" s="254">
        <v>1370</v>
      </c>
      <c r="L42" s="255" t="s">
        <v>255</v>
      </c>
      <c r="M42" s="254">
        <v>410</v>
      </c>
      <c r="N42" s="254">
        <v>423</v>
      </c>
      <c r="O42" s="367" t="s">
        <v>531</v>
      </c>
      <c r="P42" s="367" t="s">
        <v>534</v>
      </c>
      <c r="Q42" s="265">
        <v>2069000</v>
      </c>
      <c r="R42" s="265">
        <v>51000</v>
      </c>
      <c r="S42" s="265">
        <v>82000</v>
      </c>
      <c r="T42" s="265">
        <v>28000</v>
      </c>
      <c r="U42" s="265">
        <v>2230000</v>
      </c>
      <c r="V42" s="265">
        <v>0</v>
      </c>
      <c r="W42" s="265">
        <v>2230000</v>
      </c>
    </row>
    <row r="43" spans="10:23" ht="16" customHeight="1">
      <c r="J43" s="254">
        <v>2019</v>
      </c>
      <c r="K43" s="254">
        <v>1370</v>
      </c>
      <c r="L43" s="255" t="s">
        <v>255</v>
      </c>
      <c r="M43" s="254">
        <v>410</v>
      </c>
      <c r="N43" s="254">
        <v>424</v>
      </c>
      <c r="O43" s="367" t="s">
        <v>531</v>
      </c>
      <c r="P43" s="367" t="s">
        <v>535</v>
      </c>
      <c r="Q43" s="265">
        <v>130000</v>
      </c>
      <c r="R43" s="265">
        <v>0</v>
      </c>
      <c r="S43" s="265">
        <v>0</v>
      </c>
      <c r="T43" s="265">
        <v>0</v>
      </c>
      <c r="U43" s="265">
        <v>130000</v>
      </c>
      <c r="V43" s="265">
        <v>0</v>
      </c>
      <c r="W43" s="265">
        <v>130000</v>
      </c>
    </row>
    <row r="44" spans="10:23" ht="16" customHeight="1">
      <c r="J44" s="254">
        <v>2019</v>
      </c>
      <c r="K44" s="254">
        <v>1370</v>
      </c>
      <c r="L44" s="255" t="s">
        <v>255</v>
      </c>
      <c r="M44" s="254">
        <v>410</v>
      </c>
      <c r="N44" s="254">
        <v>425</v>
      </c>
      <c r="O44" s="367" t="s">
        <v>531</v>
      </c>
      <c r="P44" s="367" t="s">
        <v>524</v>
      </c>
      <c r="Q44" s="265">
        <v>0</v>
      </c>
      <c r="R44" s="265">
        <v>15118000</v>
      </c>
      <c r="S44" s="265">
        <v>0</v>
      </c>
      <c r="T44" s="265">
        <v>0</v>
      </c>
      <c r="U44" s="265">
        <v>15118000</v>
      </c>
      <c r="V44" s="265">
        <v>0</v>
      </c>
      <c r="W44" s="265">
        <v>15118000</v>
      </c>
    </row>
    <row r="45" spans="10:23" ht="16" customHeight="1">
      <c r="J45" s="254">
        <v>2019</v>
      </c>
      <c r="K45" s="254">
        <v>1370</v>
      </c>
      <c r="L45" s="255" t="s">
        <v>255</v>
      </c>
      <c r="M45" s="254">
        <v>410</v>
      </c>
      <c r="N45" s="254">
        <v>426</v>
      </c>
      <c r="O45" s="367" t="s">
        <v>531</v>
      </c>
      <c r="P45" s="367" t="s">
        <v>525</v>
      </c>
      <c r="Q45" s="265">
        <v>0</v>
      </c>
      <c r="R45" s="265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</row>
    <row r="46" spans="10:23" ht="16" customHeight="1">
      <c r="J46" s="254">
        <v>2019</v>
      </c>
      <c r="K46" s="254">
        <v>1370</v>
      </c>
      <c r="L46" s="255" t="s">
        <v>255</v>
      </c>
      <c r="M46" s="254">
        <v>410</v>
      </c>
      <c r="N46" s="254">
        <v>427</v>
      </c>
      <c r="O46" s="367" t="s">
        <v>531</v>
      </c>
      <c r="P46" s="367" t="s">
        <v>526</v>
      </c>
      <c r="Q46" s="265">
        <v>58000</v>
      </c>
      <c r="R46" s="265">
        <v>0</v>
      </c>
      <c r="S46" s="265">
        <v>0</v>
      </c>
      <c r="T46" s="265">
        <v>0</v>
      </c>
      <c r="U46" s="265">
        <v>58000</v>
      </c>
      <c r="V46" s="265">
        <v>0</v>
      </c>
      <c r="W46" s="265">
        <v>58000</v>
      </c>
    </row>
    <row r="47" spans="10:23" ht="16" customHeight="1">
      <c r="J47" s="254">
        <v>2019</v>
      </c>
      <c r="K47" s="254">
        <v>1370</v>
      </c>
      <c r="L47" s="255" t="s">
        <v>255</v>
      </c>
      <c r="M47" s="254">
        <v>410</v>
      </c>
      <c r="N47" s="254">
        <v>428</v>
      </c>
      <c r="O47" s="367" t="s">
        <v>531</v>
      </c>
      <c r="P47" s="367" t="s">
        <v>536</v>
      </c>
      <c r="Q47" s="265">
        <v>0</v>
      </c>
      <c r="R47" s="265">
        <v>0</v>
      </c>
      <c r="S47" s="265">
        <v>0</v>
      </c>
      <c r="T47" s="265">
        <v>127000</v>
      </c>
      <c r="U47" s="265">
        <v>127000</v>
      </c>
      <c r="V47" s="265">
        <v>0</v>
      </c>
      <c r="W47" s="265">
        <v>127000</v>
      </c>
    </row>
    <row r="48" spans="10:23" ht="16" customHeight="1">
      <c r="J48" s="254">
        <v>2019</v>
      </c>
      <c r="K48" s="254">
        <v>1370</v>
      </c>
      <c r="L48" s="255" t="s">
        <v>255</v>
      </c>
      <c r="M48" s="254">
        <v>410</v>
      </c>
      <c r="N48" s="254">
        <v>429</v>
      </c>
      <c r="O48" s="367" t="s">
        <v>531</v>
      </c>
      <c r="P48" s="367" t="s">
        <v>528</v>
      </c>
      <c r="Q48" s="265">
        <v>0</v>
      </c>
      <c r="R48" s="265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</row>
    <row r="49" spans="10:23" ht="16" customHeight="1">
      <c r="J49" s="254">
        <v>2019</v>
      </c>
      <c r="K49" s="254">
        <v>1370</v>
      </c>
      <c r="L49" s="255" t="s">
        <v>255</v>
      </c>
      <c r="M49" s="254">
        <v>410</v>
      </c>
      <c r="N49" s="254">
        <v>430</v>
      </c>
      <c r="O49" s="367" t="s">
        <v>531</v>
      </c>
      <c r="P49" s="367" t="s">
        <v>200</v>
      </c>
      <c r="Q49" s="265">
        <v>0</v>
      </c>
      <c r="R49" s="265">
        <v>0</v>
      </c>
      <c r="S49" s="265">
        <v>0</v>
      </c>
      <c r="T49" s="265">
        <v>33669000</v>
      </c>
      <c r="U49" s="265">
        <v>33669000</v>
      </c>
      <c r="V49" s="265">
        <v>0</v>
      </c>
      <c r="W49" s="265">
        <v>33669000</v>
      </c>
    </row>
    <row r="50" spans="10:23" ht="16" customHeight="1">
      <c r="J50" s="254">
        <v>2019</v>
      </c>
      <c r="K50" s="254">
        <v>1370</v>
      </c>
      <c r="L50" s="255" t="s">
        <v>255</v>
      </c>
      <c r="M50" s="254">
        <v>410</v>
      </c>
      <c r="N50" s="254">
        <v>431</v>
      </c>
      <c r="O50" s="367" t="s">
        <v>531</v>
      </c>
      <c r="P50" s="367" t="s">
        <v>201</v>
      </c>
      <c r="Q50" s="265">
        <v>0</v>
      </c>
      <c r="R50" s="265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</row>
    <row r="51" spans="10:23" ht="16" customHeight="1">
      <c r="J51" s="254">
        <v>2019</v>
      </c>
      <c r="K51" s="254">
        <v>1370</v>
      </c>
      <c r="L51" s="255" t="s">
        <v>255</v>
      </c>
      <c r="M51" s="254">
        <v>410</v>
      </c>
      <c r="N51" s="254">
        <v>432</v>
      </c>
      <c r="O51" s="367" t="s">
        <v>531</v>
      </c>
      <c r="P51" s="367" t="s">
        <v>152</v>
      </c>
      <c r="Q51" s="265">
        <v>0</v>
      </c>
      <c r="R51" s="265">
        <v>0</v>
      </c>
      <c r="S51" s="265">
        <v>0</v>
      </c>
      <c r="T51" s="265">
        <v>0</v>
      </c>
      <c r="U51" s="265">
        <v>0</v>
      </c>
      <c r="V51" s="265">
        <v>0</v>
      </c>
      <c r="W51" s="265">
        <v>0</v>
      </c>
    </row>
    <row r="52" spans="10:23" ht="16" customHeight="1">
      <c r="J52" s="254">
        <v>2019</v>
      </c>
      <c r="K52" s="254">
        <v>1370</v>
      </c>
      <c r="L52" s="255" t="s">
        <v>255</v>
      </c>
      <c r="M52" s="254">
        <v>410</v>
      </c>
      <c r="N52" s="254">
        <v>433</v>
      </c>
      <c r="O52" s="367" t="s">
        <v>531</v>
      </c>
      <c r="P52" s="367" t="s">
        <v>153</v>
      </c>
      <c r="Q52" s="265">
        <v>0</v>
      </c>
      <c r="R52" s="265">
        <v>0</v>
      </c>
      <c r="S52" s="265">
        <v>-2579000</v>
      </c>
      <c r="T52" s="265">
        <v>0</v>
      </c>
      <c r="U52" s="265">
        <v>-2579000</v>
      </c>
      <c r="V52" s="265">
        <v>0</v>
      </c>
      <c r="W52" s="265">
        <v>-2579000</v>
      </c>
    </row>
    <row r="53" spans="10:23" ht="16" customHeight="1">
      <c r="J53" s="254">
        <v>2019</v>
      </c>
      <c r="K53" s="254">
        <v>1370</v>
      </c>
      <c r="L53" s="255" t="s">
        <v>255</v>
      </c>
      <c r="M53" s="254">
        <v>410</v>
      </c>
      <c r="N53" s="254">
        <v>434</v>
      </c>
      <c r="O53" s="367" t="s">
        <v>531</v>
      </c>
      <c r="P53" s="367" t="s">
        <v>158</v>
      </c>
      <c r="Q53" s="265">
        <v>0</v>
      </c>
      <c r="R53" s="265">
        <v>0</v>
      </c>
      <c r="S53" s="265">
        <v>24000</v>
      </c>
      <c r="T53" s="265">
        <v>0</v>
      </c>
      <c r="U53" s="265">
        <v>24000</v>
      </c>
      <c r="V53" s="265">
        <v>0</v>
      </c>
      <c r="W53" s="265">
        <v>24000</v>
      </c>
    </row>
    <row r="54" spans="10:23" ht="16" customHeight="1">
      <c r="J54" s="254">
        <v>2019</v>
      </c>
      <c r="K54" s="254">
        <v>1370</v>
      </c>
      <c r="L54" s="255" t="s">
        <v>255</v>
      </c>
      <c r="M54" s="254">
        <v>410</v>
      </c>
      <c r="N54" s="254">
        <v>435</v>
      </c>
      <c r="O54" s="367" t="s">
        <v>531</v>
      </c>
      <c r="P54" s="367" t="s">
        <v>537</v>
      </c>
      <c r="Q54" s="265">
        <v>80560000</v>
      </c>
      <c r="R54" s="265">
        <v>16469000</v>
      </c>
      <c r="S54" s="265">
        <v>1671000</v>
      </c>
      <c r="T54" s="265">
        <v>34013000</v>
      </c>
      <c r="U54" s="265">
        <v>132713000</v>
      </c>
      <c r="V54" s="265">
        <v>0</v>
      </c>
      <c r="W54" s="265">
        <v>132713000</v>
      </c>
    </row>
    <row r="55" spans="10:23">
      <c r="J55" s="254">
        <v>2019</v>
      </c>
      <c r="K55" s="254">
        <v>1550</v>
      </c>
      <c r="L55" s="255" t="s">
        <v>258</v>
      </c>
      <c r="M55" s="254">
        <v>410</v>
      </c>
      <c r="N55" s="254">
        <v>401</v>
      </c>
      <c r="O55" s="367" t="s">
        <v>516</v>
      </c>
      <c r="P55" s="367" t="s">
        <v>203</v>
      </c>
      <c r="Q55" s="265">
        <v>6852000</v>
      </c>
      <c r="R55" s="265">
        <v>2904000</v>
      </c>
      <c r="S55" s="265">
        <v>3637000</v>
      </c>
      <c r="T55" s="265">
        <v>4774000</v>
      </c>
      <c r="U55" s="265">
        <v>18167000</v>
      </c>
      <c r="V55" s="265">
        <v>0</v>
      </c>
      <c r="W55" s="265">
        <v>18167000</v>
      </c>
    </row>
    <row r="56" spans="10:23">
      <c r="J56" s="254">
        <v>2019</v>
      </c>
      <c r="K56" s="254">
        <v>1550</v>
      </c>
      <c r="L56" s="255" t="s">
        <v>258</v>
      </c>
      <c r="M56" s="254">
        <v>410</v>
      </c>
      <c r="N56" s="254">
        <v>402</v>
      </c>
      <c r="O56" s="367" t="s">
        <v>516</v>
      </c>
      <c r="P56" s="367" t="s">
        <v>517</v>
      </c>
      <c r="Q56" s="265">
        <v>389424000</v>
      </c>
      <c r="R56" s="265">
        <v>294000</v>
      </c>
      <c r="S56" s="265">
        <v>23522000</v>
      </c>
      <c r="T56" s="265">
        <v>19832000</v>
      </c>
      <c r="U56" s="265">
        <v>433072000</v>
      </c>
      <c r="V56" s="265">
        <v>0</v>
      </c>
      <c r="W56" s="265">
        <v>433072000</v>
      </c>
    </row>
    <row r="57" spans="10:23">
      <c r="J57" s="254">
        <v>2019</v>
      </c>
      <c r="K57" s="254">
        <v>1550</v>
      </c>
      <c r="L57" s="255" t="s">
        <v>258</v>
      </c>
      <c r="M57" s="254">
        <v>410</v>
      </c>
      <c r="N57" s="254">
        <v>403</v>
      </c>
      <c r="O57" s="367" t="s">
        <v>516</v>
      </c>
      <c r="P57" s="367" t="s">
        <v>518</v>
      </c>
      <c r="Q57" s="265">
        <v>290223000</v>
      </c>
      <c r="R57" s="265">
        <v>1362000</v>
      </c>
      <c r="S57" s="265">
        <v>19029000</v>
      </c>
      <c r="T57" s="265">
        <v>16899000</v>
      </c>
      <c r="U57" s="265">
        <v>327513000</v>
      </c>
      <c r="V57" s="265">
        <v>0</v>
      </c>
      <c r="W57" s="265">
        <v>327513000</v>
      </c>
    </row>
    <row r="58" spans="10:23">
      <c r="J58" s="254">
        <v>2019</v>
      </c>
      <c r="K58" s="254">
        <v>1550</v>
      </c>
      <c r="L58" s="255" t="s">
        <v>258</v>
      </c>
      <c r="M58" s="254">
        <v>410</v>
      </c>
      <c r="N58" s="254">
        <v>404</v>
      </c>
      <c r="O58" s="367" t="s">
        <v>516</v>
      </c>
      <c r="P58" s="367" t="s">
        <v>519</v>
      </c>
      <c r="Q58" s="265">
        <v>39305000</v>
      </c>
      <c r="R58" s="265">
        <v>58000</v>
      </c>
      <c r="S58" s="265">
        <v>28000</v>
      </c>
      <c r="T58" s="265">
        <v>352000</v>
      </c>
      <c r="U58" s="265">
        <v>39743000</v>
      </c>
      <c r="V58" s="265">
        <v>0</v>
      </c>
      <c r="W58" s="265">
        <v>39743000</v>
      </c>
    </row>
    <row r="59" spans="10:23">
      <c r="J59" s="254">
        <v>2019</v>
      </c>
      <c r="K59" s="254">
        <v>1550</v>
      </c>
      <c r="L59" s="255" t="s">
        <v>258</v>
      </c>
      <c r="M59" s="254">
        <v>410</v>
      </c>
      <c r="N59" s="254">
        <v>405</v>
      </c>
      <c r="O59" s="367" t="s">
        <v>516</v>
      </c>
      <c r="P59" s="367" t="s">
        <v>520</v>
      </c>
      <c r="Q59" s="265">
        <v>40687000</v>
      </c>
      <c r="R59" s="265">
        <v>36000</v>
      </c>
      <c r="S59" s="265">
        <v>4000</v>
      </c>
      <c r="T59" s="265">
        <v>228000</v>
      </c>
      <c r="U59" s="265">
        <v>40955000</v>
      </c>
      <c r="V59" s="265">
        <v>0</v>
      </c>
      <c r="W59" s="265">
        <v>40955000</v>
      </c>
    </row>
    <row r="60" spans="10:23">
      <c r="J60" s="254">
        <v>2019</v>
      </c>
      <c r="K60" s="254">
        <v>1550</v>
      </c>
      <c r="L60" s="255" t="s">
        <v>258</v>
      </c>
      <c r="M60" s="254">
        <v>410</v>
      </c>
      <c r="N60" s="254">
        <v>406</v>
      </c>
      <c r="O60" s="367" t="s">
        <v>516</v>
      </c>
      <c r="P60" s="367" t="s">
        <v>521</v>
      </c>
      <c r="Q60" s="265">
        <v>1905000</v>
      </c>
      <c r="R60" s="265">
        <v>1000</v>
      </c>
      <c r="S60" s="265">
        <v>0</v>
      </c>
      <c r="T60" s="265">
        <v>0</v>
      </c>
      <c r="U60" s="265">
        <v>1906000</v>
      </c>
      <c r="V60" s="265">
        <v>0</v>
      </c>
      <c r="W60" s="265">
        <v>1906000</v>
      </c>
    </row>
    <row r="61" spans="10:23">
      <c r="J61" s="254">
        <v>2019</v>
      </c>
      <c r="K61" s="254">
        <v>1550</v>
      </c>
      <c r="L61" s="255" t="s">
        <v>258</v>
      </c>
      <c r="M61" s="254">
        <v>410</v>
      </c>
      <c r="N61" s="254">
        <v>407</v>
      </c>
      <c r="O61" s="367" t="s">
        <v>516</v>
      </c>
      <c r="P61" s="367" t="s">
        <v>522</v>
      </c>
      <c r="Q61" s="265">
        <v>19000</v>
      </c>
      <c r="R61" s="265">
        <v>144000</v>
      </c>
      <c r="S61" s="265">
        <v>5326000</v>
      </c>
      <c r="T61" s="265">
        <v>33000</v>
      </c>
      <c r="U61" s="265">
        <v>5522000</v>
      </c>
      <c r="V61" s="265">
        <v>0</v>
      </c>
      <c r="W61" s="265">
        <v>5522000</v>
      </c>
    </row>
    <row r="62" spans="10:23">
      <c r="J62" s="254">
        <v>2019</v>
      </c>
      <c r="K62" s="254">
        <v>1550</v>
      </c>
      <c r="L62" s="255" t="s">
        <v>258</v>
      </c>
      <c r="M62" s="254">
        <v>410</v>
      </c>
      <c r="N62" s="254">
        <v>408</v>
      </c>
      <c r="O62" s="367" t="s">
        <v>516</v>
      </c>
      <c r="P62" s="367" t="s">
        <v>523</v>
      </c>
      <c r="Q62" s="265">
        <v>38636000</v>
      </c>
      <c r="R62" s="265">
        <v>24000</v>
      </c>
      <c r="S62" s="265">
        <v>0</v>
      </c>
      <c r="T62" s="265">
        <v>0</v>
      </c>
      <c r="U62" s="265">
        <v>38660000</v>
      </c>
      <c r="V62" s="265">
        <v>0</v>
      </c>
      <c r="W62" s="265">
        <v>38660000</v>
      </c>
    </row>
    <row r="63" spans="10:23">
      <c r="J63" s="254">
        <v>2019</v>
      </c>
      <c r="K63" s="254">
        <v>1550</v>
      </c>
      <c r="L63" s="255" t="s">
        <v>258</v>
      </c>
      <c r="M63" s="254">
        <v>410</v>
      </c>
      <c r="N63" s="254">
        <v>409</v>
      </c>
      <c r="O63" s="367" t="s">
        <v>516</v>
      </c>
      <c r="P63" s="367" t="s">
        <v>524</v>
      </c>
      <c r="Q63" s="265">
        <v>0</v>
      </c>
      <c r="R63" s="265">
        <v>834229000</v>
      </c>
      <c r="S63" s="265">
        <v>2000</v>
      </c>
      <c r="T63" s="265">
        <v>0</v>
      </c>
      <c r="U63" s="265">
        <v>834231000</v>
      </c>
      <c r="V63" s="265">
        <v>0</v>
      </c>
      <c r="W63" s="265">
        <v>834231000</v>
      </c>
    </row>
    <row r="64" spans="10:23">
      <c r="J64" s="254">
        <v>2019</v>
      </c>
      <c r="K64" s="254">
        <v>1550</v>
      </c>
      <c r="L64" s="255" t="s">
        <v>258</v>
      </c>
      <c r="M64" s="254">
        <v>410</v>
      </c>
      <c r="N64" s="254">
        <v>410</v>
      </c>
      <c r="O64" s="367" t="s">
        <v>516</v>
      </c>
      <c r="P64" s="367" t="s">
        <v>525</v>
      </c>
      <c r="Q64" s="265">
        <v>0</v>
      </c>
      <c r="R64" s="265">
        <v>0</v>
      </c>
      <c r="S64" s="265">
        <v>0</v>
      </c>
      <c r="T64" s="265">
        <v>0</v>
      </c>
      <c r="U64" s="265">
        <v>0</v>
      </c>
      <c r="V64" s="265">
        <v>0</v>
      </c>
      <c r="W64" s="265">
        <v>0</v>
      </c>
    </row>
    <row r="65" spans="10:23">
      <c r="J65" s="254">
        <v>2019</v>
      </c>
      <c r="K65" s="254">
        <v>1550</v>
      </c>
      <c r="L65" s="255" t="s">
        <v>258</v>
      </c>
      <c r="M65" s="254">
        <v>410</v>
      </c>
      <c r="N65" s="254">
        <v>411</v>
      </c>
      <c r="O65" s="367" t="s">
        <v>516</v>
      </c>
      <c r="P65" s="367" t="s">
        <v>526</v>
      </c>
      <c r="Q65" s="265">
        <v>25449000</v>
      </c>
      <c r="R65" s="265">
        <v>4313000</v>
      </c>
      <c r="S65" s="265">
        <v>15115000</v>
      </c>
      <c r="T65" s="265">
        <v>5000</v>
      </c>
      <c r="U65" s="265">
        <v>44882000</v>
      </c>
      <c r="V65" s="265">
        <v>0</v>
      </c>
      <c r="W65" s="265">
        <v>44882000</v>
      </c>
    </row>
    <row r="66" spans="10:23">
      <c r="J66" s="254">
        <v>2019</v>
      </c>
      <c r="K66" s="254">
        <v>1550</v>
      </c>
      <c r="L66" s="255" t="s">
        <v>258</v>
      </c>
      <c r="M66" s="254">
        <v>410</v>
      </c>
      <c r="N66" s="254">
        <v>412</v>
      </c>
      <c r="O66" s="367" t="s">
        <v>516</v>
      </c>
      <c r="P66" s="367" t="s">
        <v>527</v>
      </c>
      <c r="Q66" s="265">
        <v>0</v>
      </c>
      <c r="R66" s="265">
        <v>0</v>
      </c>
      <c r="S66" s="265">
        <v>0</v>
      </c>
      <c r="T66" s="265">
        <v>0</v>
      </c>
      <c r="U66" s="265">
        <v>0</v>
      </c>
      <c r="V66" s="265">
        <v>0</v>
      </c>
      <c r="W66" s="265">
        <v>0</v>
      </c>
    </row>
    <row r="67" spans="10:23">
      <c r="J67" s="254">
        <v>2019</v>
      </c>
      <c r="K67" s="254">
        <v>1550</v>
      </c>
      <c r="L67" s="255" t="s">
        <v>258</v>
      </c>
      <c r="M67" s="254">
        <v>410</v>
      </c>
      <c r="N67" s="254">
        <v>413</v>
      </c>
      <c r="O67" s="367" t="s">
        <v>516</v>
      </c>
      <c r="P67" s="367" t="s">
        <v>528</v>
      </c>
      <c r="Q67" s="265">
        <v>160000</v>
      </c>
      <c r="R67" s="265">
        <v>6000</v>
      </c>
      <c r="S67" s="265">
        <v>20261000</v>
      </c>
      <c r="T67" s="265">
        <v>0</v>
      </c>
      <c r="U67" s="265">
        <v>20427000</v>
      </c>
      <c r="V67" s="265">
        <v>0</v>
      </c>
      <c r="W67" s="265">
        <v>20427000</v>
      </c>
    </row>
    <row r="68" spans="10:23">
      <c r="J68" s="254">
        <v>2019</v>
      </c>
      <c r="K68" s="254">
        <v>1550</v>
      </c>
      <c r="L68" s="255" t="s">
        <v>258</v>
      </c>
      <c r="M68" s="254">
        <v>410</v>
      </c>
      <c r="N68" s="254">
        <v>414</v>
      </c>
      <c r="O68" s="367" t="s">
        <v>516</v>
      </c>
      <c r="P68" s="367" t="s">
        <v>200</v>
      </c>
      <c r="Q68" s="265">
        <v>0</v>
      </c>
      <c r="R68" s="265">
        <v>0</v>
      </c>
      <c r="S68" s="265">
        <v>0</v>
      </c>
      <c r="T68" s="265">
        <v>389587000</v>
      </c>
      <c r="U68" s="265">
        <v>389587000</v>
      </c>
      <c r="V68" s="265">
        <v>0</v>
      </c>
      <c r="W68" s="265">
        <v>389587000</v>
      </c>
    </row>
    <row r="69" spans="10:23">
      <c r="J69" s="254">
        <v>2019</v>
      </c>
      <c r="K69" s="254">
        <v>1550</v>
      </c>
      <c r="L69" s="255" t="s">
        <v>258</v>
      </c>
      <c r="M69" s="254">
        <v>410</v>
      </c>
      <c r="N69" s="254">
        <v>415</v>
      </c>
      <c r="O69" s="367" t="s">
        <v>516</v>
      </c>
      <c r="P69" s="367" t="s">
        <v>201</v>
      </c>
      <c r="Q69" s="265">
        <v>0</v>
      </c>
      <c r="R69" s="265">
        <v>0</v>
      </c>
      <c r="S69" s="265">
        <v>0</v>
      </c>
      <c r="T69" s="265">
        <v>53842000</v>
      </c>
      <c r="U69" s="265">
        <v>53842000</v>
      </c>
      <c r="V69" s="265">
        <v>0</v>
      </c>
      <c r="W69" s="265">
        <v>53842000</v>
      </c>
    </row>
    <row r="70" spans="10:23">
      <c r="J70" s="254">
        <v>2019</v>
      </c>
      <c r="K70" s="254">
        <v>1550</v>
      </c>
      <c r="L70" s="255" t="s">
        <v>258</v>
      </c>
      <c r="M70" s="254">
        <v>410</v>
      </c>
      <c r="N70" s="254">
        <v>416</v>
      </c>
      <c r="O70" s="367" t="s">
        <v>516</v>
      </c>
      <c r="P70" s="367" t="s">
        <v>529</v>
      </c>
      <c r="Q70" s="265">
        <v>0</v>
      </c>
      <c r="R70" s="265">
        <v>0</v>
      </c>
      <c r="S70" s="265">
        <v>782000</v>
      </c>
      <c r="T70" s="265">
        <v>0</v>
      </c>
      <c r="U70" s="265">
        <v>782000</v>
      </c>
      <c r="V70" s="265">
        <v>0</v>
      </c>
      <c r="W70" s="265">
        <v>782000</v>
      </c>
    </row>
    <row r="71" spans="10:23">
      <c r="J71" s="254">
        <v>2019</v>
      </c>
      <c r="K71" s="254">
        <v>1550</v>
      </c>
      <c r="L71" s="255" t="s">
        <v>258</v>
      </c>
      <c r="M71" s="254">
        <v>410</v>
      </c>
      <c r="N71" s="254">
        <v>417</v>
      </c>
      <c r="O71" s="367" t="s">
        <v>516</v>
      </c>
      <c r="P71" s="367" t="s">
        <v>153</v>
      </c>
      <c r="Q71" s="265">
        <v>0</v>
      </c>
      <c r="R71" s="265">
        <v>0</v>
      </c>
      <c r="S71" s="265">
        <v>-118000</v>
      </c>
      <c r="T71" s="265">
        <v>0</v>
      </c>
      <c r="U71" s="265">
        <v>-118000</v>
      </c>
      <c r="V71" s="265">
        <v>0</v>
      </c>
      <c r="W71" s="265">
        <v>-118000</v>
      </c>
    </row>
    <row r="72" spans="10:23">
      <c r="J72" s="254">
        <v>2019</v>
      </c>
      <c r="K72" s="254">
        <v>1550</v>
      </c>
      <c r="L72" s="255" t="s">
        <v>258</v>
      </c>
      <c r="M72" s="254">
        <v>410</v>
      </c>
      <c r="N72" s="254">
        <v>418</v>
      </c>
      <c r="O72" s="367" t="s">
        <v>516</v>
      </c>
      <c r="P72" s="367" t="s">
        <v>158</v>
      </c>
      <c r="Q72" s="265">
        <v>-1365000</v>
      </c>
      <c r="R72" s="265">
        <v>1000</v>
      </c>
      <c r="S72" s="265">
        <v>65770000</v>
      </c>
      <c r="T72" s="265">
        <v>-20000</v>
      </c>
      <c r="U72" s="265">
        <v>64386000</v>
      </c>
      <c r="V72" s="265">
        <v>0</v>
      </c>
      <c r="W72" s="265">
        <v>64386000</v>
      </c>
    </row>
    <row r="73" spans="10:23">
      <c r="J73" s="254">
        <v>2019</v>
      </c>
      <c r="K73" s="254">
        <v>1550</v>
      </c>
      <c r="L73" s="255" t="s">
        <v>258</v>
      </c>
      <c r="M73" s="254">
        <v>410</v>
      </c>
      <c r="N73" s="254">
        <v>419</v>
      </c>
      <c r="O73" s="367" t="s">
        <v>516</v>
      </c>
      <c r="P73" s="367" t="s">
        <v>530</v>
      </c>
      <c r="Q73" s="265">
        <v>831295000</v>
      </c>
      <c r="R73" s="265">
        <v>843372000</v>
      </c>
      <c r="S73" s="265">
        <v>153358000</v>
      </c>
      <c r="T73" s="265">
        <v>485532000</v>
      </c>
      <c r="U73" s="265">
        <v>2313557000</v>
      </c>
      <c r="V73" s="265">
        <v>0</v>
      </c>
      <c r="W73" s="265">
        <v>2313557000</v>
      </c>
    </row>
    <row r="74" spans="10:23">
      <c r="J74" s="254">
        <v>2019</v>
      </c>
      <c r="K74" s="254">
        <v>1550</v>
      </c>
      <c r="L74" s="255" t="s">
        <v>258</v>
      </c>
      <c r="M74" s="254">
        <v>410</v>
      </c>
      <c r="N74" s="254">
        <v>420</v>
      </c>
      <c r="O74" s="367" t="s">
        <v>531</v>
      </c>
      <c r="P74" s="367" t="s">
        <v>203</v>
      </c>
      <c r="Q74" s="265">
        <v>772000</v>
      </c>
      <c r="R74" s="265">
        <v>169000</v>
      </c>
      <c r="S74" s="265">
        <v>774000</v>
      </c>
      <c r="T74" s="265">
        <v>746000</v>
      </c>
      <c r="U74" s="265">
        <v>2461000</v>
      </c>
      <c r="V74" s="265">
        <v>0</v>
      </c>
      <c r="W74" s="265">
        <v>2461000</v>
      </c>
    </row>
    <row r="75" spans="10:23">
      <c r="J75" s="254">
        <v>2019</v>
      </c>
      <c r="K75" s="254">
        <v>1550</v>
      </c>
      <c r="L75" s="255" t="s">
        <v>258</v>
      </c>
      <c r="M75" s="254">
        <v>410</v>
      </c>
      <c r="N75" s="254">
        <v>421</v>
      </c>
      <c r="O75" s="367" t="s">
        <v>531</v>
      </c>
      <c r="P75" s="367" t="s">
        <v>532</v>
      </c>
      <c r="Q75" s="265">
        <v>191394000</v>
      </c>
      <c r="R75" s="265">
        <v>751000</v>
      </c>
      <c r="S75" s="265">
        <v>28371000</v>
      </c>
      <c r="T75" s="265">
        <v>411000</v>
      </c>
      <c r="U75" s="265">
        <v>220927000</v>
      </c>
      <c r="V75" s="265">
        <v>0</v>
      </c>
      <c r="W75" s="265">
        <v>220927000</v>
      </c>
    </row>
    <row r="76" spans="10:23">
      <c r="J76" s="254">
        <v>2019</v>
      </c>
      <c r="K76" s="254">
        <v>1550</v>
      </c>
      <c r="L76" s="255" t="s">
        <v>258</v>
      </c>
      <c r="M76" s="254">
        <v>410</v>
      </c>
      <c r="N76" s="254">
        <v>422</v>
      </c>
      <c r="O76" s="367" t="s">
        <v>531</v>
      </c>
      <c r="P76" s="367" t="s">
        <v>533</v>
      </c>
      <c r="Q76" s="265">
        <v>34168000</v>
      </c>
      <c r="R76" s="265">
        <v>79000</v>
      </c>
      <c r="S76" s="265">
        <v>107000</v>
      </c>
      <c r="T76" s="265">
        <v>13000</v>
      </c>
      <c r="U76" s="265">
        <v>34367000</v>
      </c>
      <c r="V76" s="265">
        <v>0</v>
      </c>
      <c r="W76" s="265">
        <v>34367000</v>
      </c>
    </row>
    <row r="77" spans="10:23">
      <c r="J77" s="254">
        <v>2019</v>
      </c>
      <c r="K77" s="254">
        <v>1550</v>
      </c>
      <c r="L77" s="255" t="s">
        <v>258</v>
      </c>
      <c r="M77" s="254">
        <v>410</v>
      </c>
      <c r="N77" s="254">
        <v>423</v>
      </c>
      <c r="O77" s="367" t="s">
        <v>531</v>
      </c>
      <c r="P77" s="367" t="s">
        <v>534</v>
      </c>
      <c r="Q77" s="265">
        <v>1961000</v>
      </c>
      <c r="R77" s="265">
        <v>3667000</v>
      </c>
      <c r="S77" s="265">
        <v>2640000</v>
      </c>
      <c r="T77" s="265">
        <v>390000</v>
      </c>
      <c r="U77" s="265">
        <v>8658000</v>
      </c>
      <c r="V77" s="265">
        <v>0</v>
      </c>
      <c r="W77" s="265">
        <v>8658000</v>
      </c>
    </row>
    <row r="78" spans="10:23">
      <c r="J78" s="254">
        <v>2019</v>
      </c>
      <c r="K78" s="254">
        <v>1550</v>
      </c>
      <c r="L78" s="255" t="s">
        <v>258</v>
      </c>
      <c r="M78" s="254">
        <v>410</v>
      </c>
      <c r="N78" s="254">
        <v>424</v>
      </c>
      <c r="O78" s="367" t="s">
        <v>531</v>
      </c>
      <c r="P78" s="367" t="s">
        <v>535</v>
      </c>
      <c r="Q78" s="265">
        <v>0</v>
      </c>
      <c r="R78" s="265">
        <v>641000</v>
      </c>
      <c r="S78" s="265">
        <v>14000</v>
      </c>
      <c r="T78" s="265">
        <v>0</v>
      </c>
      <c r="U78" s="265">
        <v>655000</v>
      </c>
      <c r="V78" s="265">
        <v>0</v>
      </c>
      <c r="W78" s="265">
        <v>655000</v>
      </c>
    </row>
    <row r="79" spans="10:23">
      <c r="J79" s="254">
        <v>2019</v>
      </c>
      <c r="K79" s="254">
        <v>1550</v>
      </c>
      <c r="L79" s="255" t="s">
        <v>258</v>
      </c>
      <c r="M79" s="254">
        <v>410</v>
      </c>
      <c r="N79" s="254">
        <v>425</v>
      </c>
      <c r="O79" s="367" t="s">
        <v>531</v>
      </c>
      <c r="P79" s="367" t="s">
        <v>524</v>
      </c>
      <c r="Q79" s="265">
        <v>0</v>
      </c>
      <c r="R79" s="265">
        <v>65904000</v>
      </c>
      <c r="S79" s="265">
        <v>0</v>
      </c>
      <c r="T79" s="265">
        <v>0</v>
      </c>
      <c r="U79" s="265">
        <v>65904000</v>
      </c>
      <c r="V79" s="265">
        <v>0</v>
      </c>
      <c r="W79" s="265">
        <v>65904000</v>
      </c>
    </row>
    <row r="80" spans="10:23">
      <c r="J80" s="254">
        <v>2019</v>
      </c>
      <c r="K80" s="254">
        <v>1550</v>
      </c>
      <c r="L80" s="255" t="s">
        <v>258</v>
      </c>
      <c r="M80" s="254">
        <v>410</v>
      </c>
      <c r="N80" s="254">
        <v>426</v>
      </c>
      <c r="O80" s="367" t="s">
        <v>531</v>
      </c>
      <c r="P80" s="367" t="s">
        <v>525</v>
      </c>
      <c r="Q80" s="265">
        <v>0</v>
      </c>
      <c r="R80" s="265">
        <v>0</v>
      </c>
      <c r="S80" s="265">
        <v>0</v>
      </c>
      <c r="T80" s="265">
        <v>0</v>
      </c>
      <c r="U80" s="265">
        <v>0</v>
      </c>
      <c r="V80" s="265">
        <v>0</v>
      </c>
      <c r="W80" s="265">
        <v>0</v>
      </c>
    </row>
    <row r="81" spans="10:23">
      <c r="J81" s="254">
        <v>2019</v>
      </c>
      <c r="K81" s="254">
        <v>1550</v>
      </c>
      <c r="L81" s="255" t="s">
        <v>258</v>
      </c>
      <c r="M81" s="254">
        <v>410</v>
      </c>
      <c r="N81" s="254">
        <v>427</v>
      </c>
      <c r="O81" s="367" t="s">
        <v>531</v>
      </c>
      <c r="P81" s="367" t="s">
        <v>526</v>
      </c>
      <c r="Q81" s="265">
        <v>45000</v>
      </c>
      <c r="R81" s="265">
        <v>0</v>
      </c>
      <c r="S81" s="265">
        <v>0</v>
      </c>
      <c r="T81" s="265">
        <v>0</v>
      </c>
      <c r="U81" s="265">
        <v>45000</v>
      </c>
      <c r="V81" s="265">
        <v>0</v>
      </c>
      <c r="W81" s="265">
        <v>45000</v>
      </c>
    </row>
    <row r="82" spans="10:23">
      <c r="J82" s="254">
        <v>2019</v>
      </c>
      <c r="K82" s="254">
        <v>1550</v>
      </c>
      <c r="L82" s="255" t="s">
        <v>258</v>
      </c>
      <c r="M82" s="254">
        <v>410</v>
      </c>
      <c r="N82" s="254">
        <v>428</v>
      </c>
      <c r="O82" s="367" t="s">
        <v>531</v>
      </c>
      <c r="P82" s="367" t="s">
        <v>536</v>
      </c>
      <c r="Q82" s="265">
        <v>0</v>
      </c>
      <c r="R82" s="265">
        <v>0</v>
      </c>
      <c r="S82" s="265">
        <v>0</v>
      </c>
      <c r="T82" s="265">
        <v>0</v>
      </c>
      <c r="U82" s="265">
        <v>0</v>
      </c>
      <c r="V82" s="265">
        <v>0</v>
      </c>
      <c r="W82" s="265">
        <v>0</v>
      </c>
    </row>
    <row r="83" spans="10:23">
      <c r="J83" s="254">
        <v>2019</v>
      </c>
      <c r="K83" s="254">
        <v>1550</v>
      </c>
      <c r="L83" s="255" t="s">
        <v>258</v>
      </c>
      <c r="M83" s="254">
        <v>410</v>
      </c>
      <c r="N83" s="254">
        <v>429</v>
      </c>
      <c r="O83" s="367" t="s">
        <v>531</v>
      </c>
      <c r="P83" s="367" t="s">
        <v>528</v>
      </c>
      <c r="Q83" s="265">
        <v>73000</v>
      </c>
      <c r="R83" s="265">
        <v>0</v>
      </c>
      <c r="S83" s="265">
        <v>0</v>
      </c>
      <c r="T83" s="265">
        <v>0</v>
      </c>
      <c r="U83" s="265">
        <v>73000</v>
      </c>
      <c r="V83" s="265">
        <v>0</v>
      </c>
      <c r="W83" s="265">
        <v>73000</v>
      </c>
    </row>
    <row r="84" spans="10:23">
      <c r="J84" s="254">
        <v>2019</v>
      </c>
      <c r="K84" s="254">
        <v>1550</v>
      </c>
      <c r="L84" s="255" t="s">
        <v>258</v>
      </c>
      <c r="M84" s="254">
        <v>410</v>
      </c>
      <c r="N84" s="254">
        <v>430</v>
      </c>
      <c r="O84" s="367" t="s">
        <v>531</v>
      </c>
      <c r="P84" s="367" t="s">
        <v>200</v>
      </c>
      <c r="Q84" s="265">
        <v>0</v>
      </c>
      <c r="R84" s="265">
        <v>0</v>
      </c>
      <c r="S84" s="265">
        <v>0</v>
      </c>
      <c r="T84" s="265">
        <v>102356000</v>
      </c>
      <c r="U84" s="265">
        <v>102356000</v>
      </c>
      <c r="V84" s="265">
        <v>0</v>
      </c>
      <c r="W84" s="265">
        <v>102356000</v>
      </c>
    </row>
    <row r="85" spans="10:23">
      <c r="J85" s="254">
        <v>2019</v>
      </c>
      <c r="K85" s="254">
        <v>1550</v>
      </c>
      <c r="L85" s="255" t="s">
        <v>258</v>
      </c>
      <c r="M85" s="254">
        <v>410</v>
      </c>
      <c r="N85" s="254">
        <v>431</v>
      </c>
      <c r="O85" s="367" t="s">
        <v>531</v>
      </c>
      <c r="P85" s="367" t="s">
        <v>201</v>
      </c>
      <c r="Q85" s="265">
        <v>0</v>
      </c>
      <c r="R85" s="265">
        <v>0</v>
      </c>
      <c r="S85" s="265">
        <v>0</v>
      </c>
      <c r="T85" s="265">
        <v>7149000</v>
      </c>
      <c r="U85" s="265">
        <v>7149000</v>
      </c>
      <c r="V85" s="265">
        <v>0</v>
      </c>
      <c r="W85" s="265">
        <v>7149000</v>
      </c>
    </row>
    <row r="86" spans="10:23">
      <c r="J86" s="254">
        <v>2019</v>
      </c>
      <c r="K86" s="254">
        <v>1550</v>
      </c>
      <c r="L86" s="255" t="s">
        <v>258</v>
      </c>
      <c r="M86" s="254">
        <v>410</v>
      </c>
      <c r="N86" s="254">
        <v>432</v>
      </c>
      <c r="O86" s="367" t="s">
        <v>531</v>
      </c>
      <c r="P86" s="367" t="s">
        <v>152</v>
      </c>
      <c r="Q86" s="265">
        <v>0</v>
      </c>
      <c r="R86" s="265">
        <v>0</v>
      </c>
      <c r="S86" s="265">
        <v>8906000</v>
      </c>
      <c r="T86" s="265">
        <v>0</v>
      </c>
      <c r="U86" s="265">
        <v>8906000</v>
      </c>
      <c r="V86" s="265">
        <v>0</v>
      </c>
      <c r="W86" s="265">
        <v>8906000</v>
      </c>
    </row>
    <row r="87" spans="10:23">
      <c r="J87" s="254">
        <v>2019</v>
      </c>
      <c r="K87" s="254">
        <v>1550</v>
      </c>
      <c r="L87" s="255" t="s">
        <v>258</v>
      </c>
      <c r="M87" s="254">
        <v>410</v>
      </c>
      <c r="N87" s="254">
        <v>433</v>
      </c>
      <c r="O87" s="367" t="s">
        <v>531</v>
      </c>
      <c r="P87" s="367" t="s">
        <v>153</v>
      </c>
      <c r="Q87" s="265">
        <v>0</v>
      </c>
      <c r="R87" s="265">
        <v>0</v>
      </c>
      <c r="S87" s="265">
        <v>-570000</v>
      </c>
      <c r="T87" s="265">
        <v>0</v>
      </c>
      <c r="U87" s="265">
        <v>-570000</v>
      </c>
      <c r="V87" s="265">
        <v>0</v>
      </c>
      <c r="W87" s="265">
        <v>-570000</v>
      </c>
    </row>
    <row r="88" spans="10:23">
      <c r="J88" s="254">
        <v>2019</v>
      </c>
      <c r="K88" s="254">
        <v>1550</v>
      </c>
      <c r="L88" s="255" t="s">
        <v>258</v>
      </c>
      <c r="M88" s="254">
        <v>410</v>
      </c>
      <c r="N88" s="254">
        <v>434</v>
      </c>
      <c r="O88" s="367" t="s">
        <v>531</v>
      </c>
      <c r="P88" s="367" t="s">
        <v>158</v>
      </c>
      <c r="Q88" s="265">
        <v>0</v>
      </c>
      <c r="R88" s="265">
        <v>0</v>
      </c>
      <c r="S88" s="265">
        <v>7000</v>
      </c>
      <c r="T88" s="265">
        <v>0</v>
      </c>
      <c r="U88" s="265">
        <v>7000</v>
      </c>
      <c r="V88" s="265">
        <v>0</v>
      </c>
      <c r="W88" s="265">
        <v>7000</v>
      </c>
    </row>
    <row r="89" spans="10:23">
      <c r="J89" s="254">
        <v>2019</v>
      </c>
      <c r="K89" s="254">
        <v>1550</v>
      </c>
      <c r="L89" s="255" t="s">
        <v>258</v>
      </c>
      <c r="M89" s="254">
        <v>410</v>
      </c>
      <c r="N89" s="254">
        <v>435</v>
      </c>
      <c r="O89" s="367" t="s">
        <v>531</v>
      </c>
      <c r="P89" s="367" t="s">
        <v>537</v>
      </c>
      <c r="Q89" s="265">
        <v>228413000</v>
      </c>
      <c r="R89" s="265">
        <v>71211000</v>
      </c>
      <c r="S89" s="265">
        <v>40249000</v>
      </c>
      <c r="T89" s="265">
        <v>111065000</v>
      </c>
      <c r="U89" s="265">
        <v>450938000</v>
      </c>
      <c r="V89" s="265">
        <v>0</v>
      </c>
      <c r="W89" s="265">
        <v>450938000</v>
      </c>
    </row>
    <row r="90" spans="10:23">
      <c r="J90" s="254">
        <v>2019</v>
      </c>
      <c r="K90" s="254">
        <v>2670</v>
      </c>
      <c r="L90" s="255" t="s">
        <v>257</v>
      </c>
      <c r="M90" s="254">
        <v>410</v>
      </c>
      <c r="N90" s="254">
        <v>401</v>
      </c>
      <c r="O90" s="367" t="s">
        <v>516</v>
      </c>
      <c r="P90" s="367" t="s">
        <v>203</v>
      </c>
      <c r="Q90" s="265">
        <v>40985000</v>
      </c>
      <c r="R90" s="265">
        <v>753000</v>
      </c>
      <c r="S90" s="265">
        <v>174000</v>
      </c>
      <c r="T90" s="265">
        <v>9283000</v>
      </c>
      <c r="U90" s="265">
        <v>51195000</v>
      </c>
      <c r="V90" s="265">
        <v>0</v>
      </c>
      <c r="W90" s="265">
        <v>51195000</v>
      </c>
    </row>
    <row r="91" spans="10:23">
      <c r="J91" s="254">
        <v>2019</v>
      </c>
      <c r="K91" s="254">
        <v>2670</v>
      </c>
      <c r="L91" s="255" t="s">
        <v>257</v>
      </c>
      <c r="M91" s="254">
        <v>410</v>
      </c>
      <c r="N91" s="254">
        <v>402</v>
      </c>
      <c r="O91" s="367" t="s">
        <v>516</v>
      </c>
      <c r="P91" s="367" t="s">
        <v>517</v>
      </c>
      <c r="Q91" s="265">
        <v>192564000</v>
      </c>
      <c r="R91" s="265">
        <v>0</v>
      </c>
      <c r="S91" s="265">
        <v>1000</v>
      </c>
      <c r="T91" s="265">
        <v>44000</v>
      </c>
      <c r="U91" s="265">
        <v>192609000</v>
      </c>
      <c r="V91" s="265">
        <v>0</v>
      </c>
      <c r="W91" s="265">
        <v>192609000</v>
      </c>
    </row>
    <row r="92" spans="10:23">
      <c r="J92" s="254">
        <v>2019</v>
      </c>
      <c r="K92" s="254">
        <v>2670</v>
      </c>
      <c r="L92" s="255" t="s">
        <v>257</v>
      </c>
      <c r="M92" s="254">
        <v>410</v>
      </c>
      <c r="N92" s="254">
        <v>403</v>
      </c>
      <c r="O92" s="367" t="s">
        <v>516</v>
      </c>
      <c r="P92" s="367" t="s">
        <v>518</v>
      </c>
      <c r="Q92" s="265">
        <v>343032000</v>
      </c>
      <c r="R92" s="265">
        <v>589000</v>
      </c>
      <c r="S92" s="265">
        <v>141000</v>
      </c>
      <c r="T92" s="265">
        <v>64162000</v>
      </c>
      <c r="U92" s="265">
        <v>407924000</v>
      </c>
      <c r="V92" s="265">
        <v>0</v>
      </c>
      <c r="W92" s="265">
        <v>407924000</v>
      </c>
    </row>
    <row r="93" spans="10:23">
      <c r="J93" s="254">
        <v>2019</v>
      </c>
      <c r="K93" s="254">
        <v>2670</v>
      </c>
      <c r="L93" s="255" t="s">
        <v>257</v>
      </c>
      <c r="M93" s="254">
        <v>410</v>
      </c>
      <c r="N93" s="254">
        <v>404</v>
      </c>
      <c r="O93" s="367" t="s">
        <v>516</v>
      </c>
      <c r="P93" s="367" t="s">
        <v>519</v>
      </c>
      <c r="Q93" s="265">
        <v>47040000</v>
      </c>
      <c r="R93" s="265">
        <v>34000</v>
      </c>
      <c r="S93" s="265">
        <v>204000</v>
      </c>
      <c r="T93" s="265">
        <v>693000</v>
      </c>
      <c r="U93" s="265">
        <v>47971000</v>
      </c>
      <c r="V93" s="265">
        <v>0</v>
      </c>
      <c r="W93" s="265">
        <v>47971000</v>
      </c>
    </row>
    <row r="94" spans="10:23">
      <c r="J94" s="254">
        <v>2019</v>
      </c>
      <c r="K94" s="254">
        <v>2670</v>
      </c>
      <c r="L94" s="255" t="s">
        <v>257</v>
      </c>
      <c r="M94" s="254">
        <v>410</v>
      </c>
      <c r="N94" s="254">
        <v>405</v>
      </c>
      <c r="O94" s="367" t="s">
        <v>516</v>
      </c>
      <c r="P94" s="367" t="s">
        <v>520</v>
      </c>
      <c r="Q94" s="265">
        <v>346000</v>
      </c>
      <c r="R94" s="265">
        <v>0</v>
      </c>
      <c r="S94" s="265">
        <v>0</v>
      </c>
      <c r="T94" s="265">
        <v>0</v>
      </c>
      <c r="U94" s="265">
        <v>346000</v>
      </c>
      <c r="V94" s="265">
        <v>0</v>
      </c>
      <c r="W94" s="265">
        <v>346000</v>
      </c>
    </row>
    <row r="95" spans="10:23">
      <c r="J95" s="254">
        <v>2019</v>
      </c>
      <c r="K95" s="254">
        <v>2670</v>
      </c>
      <c r="L95" s="255" t="s">
        <v>257</v>
      </c>
      <c r="M95" s="254">
        <v>410</v>
      </c>
      <c r="N95" s="254">
        <v>406</v>
      </c>
      <c r="O95" s="367" t="s">
        <v>516</v>
      </c>
      <c r="P95" s="367" t="s">
        <v>521</v>
      </c>
      <c r="Q95" s="265">
        <v>3178000</v>
      </c>
      <c r="R95" s="265">
        <v>151000</v>
      </c>
      <c r="S95" s="265">
        <v>8000</v>
      </c>
      <c r="T95" s="265">
        <v>112000</v>
      </c>
      <c r="U95" s="265">
        <v>3449000</v>
      </c>
      <c r="V95" s="265">
        <v>0</v>
      </c>
      <c r="W95" s="265">
        <v>3449000</v>
      </c>
    </row>
    <row r="96" spans="10:23">
      <c r="J96" s="254">
        <v>2019</v>
      </c>
      <c r="K96" s="254">
        <v>2670</v>
      </c>
      <c r="L96" s="255" t="s">
        <v>257</v>
      </c>
      <c r="M96" s="254">
        <v>410</v>
      </c>
      <c r="N96" s="254">
        <v>407</v>
      </c>
      <c r="O96" s="367" t="s">
        <v>516</v>
      </c>
      <c r="P96" s="367" t="s">
        <v>522</v>
      </c>
      <c r="Q96" s="265">
        <v>130000</v>
      </c>
      <c r="R96" s="265">
        <v>0</v>
      </c>
      <c r="S96" s="265">
        <v>0</v>
      </c>
      <c r="T96" s="265">
        <v>0</v>
      </c>
      <c r="U96" s="265">
        <v>130000</v>
      </c>
      <c r="V96" s="265">
        <v>0</v>
      </c>
      <c r="W96" s="265">
        <v>130000</v>
      </c>
    </row>
    <row r="97" spans="10:23">
      <c r="J97" s="254">
        <v>2019</v>
      </c>
      <c r="K97" s="254">
        <v>2670</v>
      </c>
      <c r="L97" s="255" t="s">
        <v>257</v>
      </c>
      <c r="M97" s="254">
        <v>410</v>
      </c>
      <c r="N97" s="254">
        <v>408</v>
      </c>
      <c r="O97" s="367" t="s">
        <v>516</v>
      </c>
      <c r="P97" s="367" t="s">
        <v>523</v>
      </c>
      <c r="Q97" s="265">
        <v>55808000</v>
      </c>
      <c r="R97" s="265">
        <v>5749000</v>
      </c>
      <c r="S97" s="265">
        <v>149000</v>
      </c>
      <c r="T97" s="265">
        <v>114000</v>
      </c>
      <c r="U97" s="265">
        <v>61820000</v>
      </c>
      <c r="V97" s="265">
        <v>0</v>
      </c>
      <c r="W97" s="265">
        <v>61820000</v>
      </c>
    </row>
    <row r="98" spans="10:23">
      <c r="J98" s="254">
        <v>2019</v>
      </c>
      <c r="K98" s="254">
        <v>2670</v>
      </c>
      <c r="L98" s="255" t="s">
        <v>257</v>
      </c>
      <c r="M98" s="254">
        <v>410</v>
      </c>
      <c r="N98" s="254">
        <v>409</v>
      </c>
      <c r="O98" s="367" t="s">
        <v>516</v>
      </c>
      <c r="P98" s="367" t="s">
        <v>524</v>
      </c>
      <c r="Q98" s="265">
        <v>0</v>
      </c>
      <c r="R98" s="265">
        <v>780653000</v>
      </c>
      <c r="S98" s="265">
        <v>0</v>
      </c>
      <c r="T98" s="265">
        <v>0</v>
      </c>
      <c r="U98" s="265">
        <v>780653000</v>
      </c>
      <c r="V98" s="265">
        <v>0</v>
      </c>
      <c r="W98" s="265">
        <v>780653000</v>
      </c>
    </row>
    <row r="99" spans="10:23">
      <c r="J99" s="254">
        <v>2019</v>
      </c>
      <c r="K99" s="254">
        <v>2670</v>
      </c>
      <c r="L99" s="255" t="s">
        <v>257</v>
      </c>
      <c r="M99" s="254">
        <v>410</v>
      </c>
      <c r="N99" s="254">
        <v>410</v>
      </c>
      <c r="O99" s="367" t="s">
        <v>516</v>
      </c>
      <c r="P99" s="367" t="s">
        <v>525</v>
      </c>
      <c r="Q99" s="265">
        <v>0</v>
      </c>
      <c r="R99" s="265">
        <v>0</v>
      </c>
      <c r="S99" s="265">
        <v>0</v>
      </c>
      <c r="T99" s="265">
        <v>0</v>
      </c>
      <c r="U99" s="265">
        <v>0</v>
      </c>
      <c r="V99" s="265">
        <v>0</v>
      </c>
      <c r="W99" s="265">
        <v>0</v>
      </c>
    </row>
    <row r="100" spans="10:23">
      <c r="J100" s="254">
        <v>2019</v>
      </c>
      <c r="K100" s="254">
        <v>2670</v>
      </c>
      <c r="L100" s="255" t="s">
        <v>257</v>
      </c>
      <c r="M100" s="254">
        <v>410</v>
      </c>
      <c r="N100" s="254">
        <v>411</v>
      </c>
      <c r="O100" s="367" t="s">
        <v>516</v>
      </c>
      <c r="P100" s="367" t="s">
        <v>526</v>
      </c>
      <c r="Q100" s="265">
        <v>30375000</v>
      </c>
      <c r="R100" s="265">
        <v>2710000</v>
      </c>
      <c r="S100" s="265">
        <v>202000</v>
      </c>
      <c r="T100" s="265">
        <v>1428000</v>
      </c>
      <c r="U100" s="265">
        <v>34715000</v>
      </c>
      <c r="V100" s="265">
        <v>0</v>
      </c>
      <c r="W100" s="265">
        <v>34715000</v>
      </c>
    </row>
    <row r="101" spans="10:23">
      <c r="J101" s="254">
        <v>2019</v>
      </c>
      <c r="K101" s="254">
        <v>2670</v>
      </c>
      <c r="L101" s="255" t="s">
        <v>257</v>
      </c>
      <c r="M101" s="254">
        <v>410</v>
      </c>
      <c r="N101" s="254">
        <v>412</v>
      </c>
      <c r="O101" s="367" t="s">
        <v>516</v>
      </c>
      <c r="P101" s="367" t="s">
        <v>527</v>
      </c>
      <c r="Q101" s="265">
        <v>0</v>
      </c>
      <c r="R101" s="265">
        <v>0</v>
      </c>
      <c r="S101" s="265">
        <v>0</v>
      </c>
      <c r="T101" s="265">
        <v>0</v>
      </c>
      <c r="U101" s="265">
        <v>0</v>
      </c>
      <c r="V101" s="265">
        <v>0</v>
      </c>
      <c r="W101" s="265">
        <v>0</v>
      </c>
    </row>
    <row r="102" spans="10:23">
      <c r="J102" s="254">
        <v>2019</v>
      </c>
      <c r="K102" s="254">
        <v>2670</v>
      </c>
      <c r="L102" s="255" t="s">
        <v>257</v>
      </c>
      <c r="M102" s="254">
        <v>410</v>
      </c>
      <c r="N102" s="254">
        <v>413</v>
      </c>
      <c r="O102" s="367" t="s">
        <v>516</v>
      </c>
      <c r="P102" s="367" t="s">
        <v>528</v>
      </c>
      <c r="Q102" s="265">
        <v>46000</v>
      </c>
      <c r="R102" s="265">
        <v>0</v>
      </c>
      <c r="S102" s="265">
        <v>7230000</v>
      </c>
      <c r="T102" s="265">
        <v>0</v>
      </c>
      <c r="U102" s="265">
        <v>7276000</v>
      </c>
      <c r="V102" s="265">
        <v>0</v>
      </c>
      <c r="W102" s="265">
        <v>7276000</v>
      </c>
    </row>
    <row r="103" spans="10:23">
      <c r="J103" s="254">
        <v>2019</v>
      </c>
      <c r="K103" s="254">
        <v>2670</v>
      </c>
      <c r="L103" s="255" t="s">
        <v>257</v>
      </c>
      <c r="M103" s="254">
        <v>410</v>
      </c>
      <c r="N103" s="254">
        <v>414</v>
      </c>
      <c r="O103" s="367" t="s">
        <v>516</v>
      </c>
      <c r="P103" s="367" t="s">
        <v>200</v>
      </c>
      <c r="Q103" s="265">
        <v>0</v>
      </c>
      <c r="R103" s="265">
        <v>0</v>
      </c>
      <c r="S103" s="265">
        <v>0</v>
      </c>
      <c r="T103" s="265">
        <v>343417000</v>
      </c>
      <c r="U103" s="265">
        <v>343417000</v>
      </c>
      <c r="V103" s="265">
        <v>0</v>
      </c>
      <c r="W103" s="265">
        <v>343417000</v>
      </c>
    </row>
    <row r="104" spans="10:23">
      <c r="J104" s="254">
        <v>2019</v>
      </c>
      <c r="K104" s="254">
        <v>2670</v>
      </c>
      <c r="L104" s="255" t="s">
        <v>257</v>
      </c>
      <c r="M104" s="254">
        <v>410</v>
      </c>
      <c r="N104" s="254">
        <v>415</v>
      </c>
      <c r="O104" s="367" t="s">
        <v>516</v>
      </c>
      <c r="P104" s="367" t="s">
        <v>201</v>
      </c>
      <c r="Q104" s="265">
        <v>0</v>
      </c>
      <c r="R104" s="265">
        <v>0</v>
      </c>
      <c r="S104" s="265">
        <v>0</v>
      </c>
      <c r="T104" s="265">
        <v>44440000</v>
      </c>
      <c r="U104" s="265">
        <v>44440000</v>
      </c>
      <c r="V104" s="265">
        <v>0</v>
      </c>
      <c r="W104" s="265">
        <v>44440000</v>
      </c>
    </row>
    <row r="105" spans="10:23">
      <c r="J105" s="254">
        <v>2019</v>
      </c>
      <c r="K105" s="254">
        <v>2670</v>
      </c>
      <c r="L105" s="255" t="s">
        <v>257</v>
      </c>
      <c r="M105" s="254">
        <v>410</v>
      </c>
      <c r="N105" s="254">
        <v>416</v>
      </c>
      <c r="O105" s="367" t="s">
        <v>516</v>
      </c>
      <c r="P105" s="367" t="s">
        <v>529</v>
      </c>
      <c r="Q105" s="265">
        <v>0</v>
      </c>
      <c r="R105" s="265">
        <v>0</v>
      </c>
      <c r="S105" s="265">
        <v>76106000</v>
      </c>
      <c r="T105" s="265">
        <v>0</v>
      </c>
      <c r="U105" s="265">
        <v>76106000</v>
      </c>
      <c r="V105" s="265">
        <v>0</v>
      </c>
      <c r="W105" s="265">
        <v>76106000</v>
      </c>
    </row>
    <row r="106" spans="10:23">
      <c r="J106" s="254">
        <v>2019</v>
      </c>
      <c r="K106" s="254">
        <v>2670</v>
      </c>
      <c r="L106" s="255" t="s">
        <v>257</v>
      </c>
      <c r="M106" s="254">
        <v>410</v>
      </c>
      <c r="N106" s="254">
        <v>417</v>
      </c>
      <c r="O106" s="367" t="s">
        <v>516</v>
      </c>
      <c r="P106" s="367" t="s">
        <v>153</v>
      </c>
      <c r="Q106" s="265">
        <v>0</v>
      </c>
      <c r="R106" s="265">
        <v>0</v>
      </c>
      <c r="S106" s="265">
        <v>-28761000</v>
      </c>
      <c r="T106" s="265">
        <v>0</v>
      </c>
      <c r="U106" s="265">
        <v>-28761000</v>
      </c>
      <c r="V106" s="265">
        <v>0</v>
      </c>
      <c r="W106" s="265">
        <v>-28761000</v>
      </c>
    </row>
    <row r="107" spans="10:23">
      <c r="J107" s="254">
        <v>2019</v>
      </c>
      <c r="K107" s="254">
        <v>2670</v>
      </c>
      <c r="L107" s="255" t="s">
        <v>257</v>
      </c>
      <c r="M107" s="254">
        <v>410</v>
      </c>
      <c r="N107" s="254">
        <v>418</v>
      </c>
      <c r="O107" s="367" t="s">
        <v>516</v>
      </c>
      <c r="P107" s="367" t="s">
        <v>158</v>
      </c>
      <c r="Q107" s="265">
        <v>8917000</v>
      </c>
      <c r="R107" s="265">
        <v>178000</v>
      </c>
      <c r="S107" s="265">
        <v>4162000</v>
      </c>
      <c r="T107" s="265">
        <v>606000</v>
      </c>
      <c r="U107" s="265">
        <v>13863000</v>
      </c>
      <c r="V107" s="265">
        <v>0</v>
      </c>
      <c r="W107" s="265">
        <v>13863000</v>
      </c>
    </row>
    <row r="108" spans="10:23">
      <c r="J108" s="254">
        <v>2019</v>
      </c>
      <c r="K108" s="254">
        <v>2670</v>
      </c>
      <c r="L108" s="255" t="s">
        <v>257</v>
      </c>
      <c r="M108" s="254">
        <v>410</v>
      </c>
      <c r="N108" s="254">
        <v>419</v>
      </c>
      <c r="O108" s="367" t="s">
        <v>516</v>
      </c>
      <c r="P108" s="367" t="s">
        <v>530</v>
      </c>
      <c r="Q108" s="265">
        <v>722421000</v>
      </c>
      <c r="R108" s="265">
        <v>790817000</v>
      </c>
      <c r="S108" s="265">
        <v>59616000</v>
      </c>
      <c r="T108" s="265">
        <v>464299000</v>
      </c>
      <c r="U108" s="265">
        <v>2037153000</v>
      </c>
      <c r="V108" s="265">
        <v>0</v>
      </c>
      <c r="W108" s="265">
        <v>2037153000</v>
      </c>
    </row>
    <row r="109" spans="10:23">
      <c r="J109" s="254">
        <v>2019</v>
      </c>
      <c r="K109" s="254">
        <v>2670</v>
      </c>
      <c r="L109" s="255" t="s">
        <v>257</v>
      </c>
      <c r="M109" s="254">
        <v>410</v>
      </c>
      <c r="N109" s="254">
        <v>420</v>
      </c>
      <c r="O109" s="367" t="s">
        <v>531</v>
      </c>
      <c r="P109" s="367" t="s">
        <v>203</v>
      </c>
      <c r="Q109" s="265">
        <v>4749000</v>
      </c>
      <c r="R109" s="265">
        <v>971000</v>
      </c>
      <c r="S109" s="265">
        <v>174000</v>
      </c>
      <c r="T109" s="265">
        <v>2964000</v>
      </c>
      <c r="U109" s="265">
        <v>8858000</v>
      </c>
      <c r="V109" s="265">
        <v>0</v>
      </c>
      <c r="W109" s="265">
        <v>8858000</v>
      </c>
    </row>
    <row r="110" spans="10:23">
      <c r="J110" s="254">
        <v>2019</v>
      </c>
      <c r="K110" s="254">
        <v>2670</v>
      </c>
      <c r="L110" s="255" t="s">
        <v>257</v>
      </c>
      <c r="M110" s="254">
        <v>410</v>
      </c>
      <c r="N110" s="254">
        <v>421</v>
      </c>
      <c r="O110" s="367" t="s">
        <v>531</v>
      </c>
      <c r="P110" s="367" t="s">
        <v>532</v>
      </c>
      <c r="Q110" s="265">
        <v>137701000</v>
      </c>
      <c r="R110" s="265">
        <v>702000</v>
      </c>
      <c r="S110" s="265">
        <v>105000</v>
      </c>
      <c r="T110" s="265">
        <v>8845000</v>
      </c>
      <c r="U110" s="265">
        <v>147353000</v>
      </c>
      <c r="V110" s="265">
        <v>0</v>
      </c>
      <c r="W110" s="265">
        <v>147353000</v>
      </c>
    </row>
    <row r="111" spans="10:23">
      <c r="J111" s="254">
        <v>2019</v>
      </c>
      <c r="K111" s="254">
        <v>2670</v>
      </c>
      <c r="L111" s="255" t="s">
        <v>257</v>
      </c>
      <c r="M111" s="254">
        <v>410</v>
      </c>
      <c r="N111" s="254">
        <v>422</v>
      </c>
      <c r="O111" s="367" t="s">
        <v>531</v>
      </c>
      <c r="P111" s="367" t="s">
        <v>533</v>
      </c>
      <c r="Q111" s="265">
        <v>29777000</v>
      </c>
      <c r="R111" s="265">
        <v>95000</v>
      </c>
      <c r="S111" s="265">
        <v>22000</v>
      </c>
      <c r="T111" s="265">
        <v>1364000</v>
      </c>
      <c r="U111" s="265">
        <v>31258000</v>
      </c>
      <c r="V111" s="265">
        <v>0</v>
      </c>
      <c r="W111" s="265">
        <v>31258000</v>
      </c>
    </row>
    <row r="112" spans="10:23">
      <c r="J112" s="254">
        <v>2019</v>
      </c>
      <c r="K112" s="254">
        <v>2670</v>
      </c>
      <c r="L112" s="255" t="s">
        <v>257</v>
      </c>
      <c r="M112" s="254">
        <v>410</v>
      </c>
      <c r="N112" s="254">
        <v>423</v>
      </c>
      <c r="O112" s="367" t="s">
        <v>531</v>
      </c>
      <c r="P112" s="367" t="s">
        <v>534</v>
      </c>
      <c r="Q112" s="265">
        <v>8731000</v>
      </c>
      <c r="R112" s="265">
        <v>24000</v>
      </c>
      <c r="S112" s="265">
        <v>1000</v>
      </c>
      <c r="T112" s="265">
        <v>144000</v>
      </c>
      <c r="U112" s="265">
        <v>8900000</v>
      </c>
      <c r="V112" s="265">
        <v>0</v>
      </c>
      <c r="W112" s="265">
        <v>8900000</v>
      </c>
    </row>
    <row r="113" spans="10:23">
      <c r="J113" s="254">
        <v>2019</v>
      </c>
      <c r="K113" s="254">
        <v>2670</v>
      </c>
      <c r="L113" s="255" t="s">
        <v>257</v>
      </c>
      <c r="M113" s="254">
        <v>410</v>
      </c>
      <c r="N113" s="254">
        <v>424</v>
      </c>
      <c r="O113" s="367" t="s">
        <v>531</v>
      </c>
      <c r="P113" s="367" t="s">
        <v>535</v>
      </c>
      <c r="Q113" s="265">
        <v>367000</v>
      </c>
      <c r="R113" s="265">
        <v>0</v>
      </c>
      <c r="S113" s="265">
        <v>0</v>
      </c>
      <c r="T113" s="265">
        <v>45000</v>
      </c>
      <c r="U113" s="265">
        <v>412000</v>
      </c>
      <c r="V113" s="265">
        <v>0</v>
      </c>
      <c r="W113" s="265">
        <v>412000</v>
      </c>
    </row>
    <row r="114" spans="10:23">
      <c r="J114" s="254">
        <v>2019</v>
      </c>
      <c r="K114" s="254">
        <v>2670</v>
      </c>
      <c r="L114" s="255" t="s">
        <v>257</v>
      </c>
      <c r="M114" s="254">
        <v>410</v>
      </c>
      <c r="N114" s="254">
        <v>425</v>
      </c>
      <c r="O114" s="367" t="s">
        <v>531</v>
      </c>
      <c r="P114" s="367" t="s">
        <v>524</v>
      </c>
      <c r="Q114" s="265">
        <v>0</v>
      </c>
      <c r="R114" s="265">
        <v>41087000</v>
      </c>
      <c r="S114" s="265">
        <v>0</v>
      </c>
      <c r="T114" s="265">
        <v>0</v>
      </c>
      <c r="U114" s="265">
        <v>41087000</v>
      </c>
      <c r="V114" s="265">
        <v>0</v>
      </c>
      <c r="W114" s="265">
        <v>41087000</v>
      </c>
    </row>
    <row r="115" spans="10:23">
      <c r="J115" s="254">
        <v>2019</v>
      </c>
      <c r="K115" s="254">
        <v>2670</v>
      </c>
      <c r="L115" s="255" t="s">
        <v>257</v>
      </c>
      <c r="M115" s="254">
        <v>410</v>
      </c>
      <c r="N115" s="254">
        <v>426</v>
      </c>
      <c r="O115" s="367" t="s">
        <v>531</v>
      </c>
      <c r="P115" s="367" t="s">
        <v>525</v>
      </c>
      <c r="Q115" s="265">
        <v>0</v>
      </c>
      <c r="R115" s="265">
        <v>0</v>
      </c>
      <c r="S115" s="265">
        <v>0</v>
      </c>
      <c r="T115" s="265">
        <v>0</v>
      </c>
      <c r="U115" s="265">
        <v>0</v>
      </c>
      <c r="V115" s="265">
        <v>0</v>
      </c>
      <c r="W115" s="265">
        <v>0</v>
      </c>
    </row>
    <row r="116" spans="10:23">
      <c r="J116" s="254">
        <v>2019</v>
      </c>
      <c r="K116" s="254">
        <v>2670</v>
      </c>
      <c r="L116" s="255" t="s">
        <v>257</v>
      </c>
      <c r="M116" s="254">
        <v>410</v>
      </c>
      <c r="N116" s="254">
        <v>427</v>
      </c>
      <c r="O116" s="367" t="s">
        <v>531</v>
      </c>
      <c r="P116" s="367" t="s">
        <v>526</v>
      </c>
      <c r="Q116" s="265">
        <v>363000</v>
      </c>
      <c r="R116" s="265">
        <v>0</v>
      </c>
      <c r="S116" s="265">
        <v>0</v>
      </c>
      <c r="T116" s="265">
        <v>18000</v>
      </c>
      <c r="U116" s="265">
        <v>381000</v>
      </c>
      <c r="V116" s="265">
        <v>0</v>
      </c>
      <c r="W116" s="265">
        <v>381000</v>
      </c>
    </row>
    <row r="117" spans="10:23">
      <c r="J117" s="254">
        <v>2019</v>
      </c>
      <c r="K117" s="254">
        <v>2670</v>
      </c>
      <c r="L117" s="255" t="s">
        <v>257</v>
      </c>
      <c r="M117" s="254">
        <v>410</v>
      </c>
      <c r="N117" s="254">
        <v>428</v>
      </c>
      <c r="O117" s="367" t="s">
        <v>531</v>
      </c>
      <c r="P117" s="367" t="s">
        <v>536</v>
      </c>
      <c r="Q117" s="265">
        <v>0</v>
      </c>
      <c r="R117" s="265">
        <v>0</v>
      </c>
      <c r="S117" s="265">
        <v>0</v>
      </c>
      <c r="T117" s="265">
        <v>0</v>
      </c>
      <c r="U117" s="265">
        <v>0</v>
      </c>
      <c r="V117" s="265">
        <v>0</v>
      </c>
      <c r="W117" s="265">
        <v>0</v>
      </c>
    </row>
    <row r="118" spans="10:23">
      <c r="J118" s="254">
        <v>2019</v>
      </c>
      <c r="K118" s="254">
        <v>2670</v>
      </c>
      <c r="L118" s="255" t="s">
        <v>257</v>
      </c>
      <c r="M118" s="254">
        <v>410</v>
      </c>
      <c r="N118" s="254">
        <v>429</v>
      </c>
      <c r="O118" s="367" t="s">
        <v>531</v>
      </c>
      <c r="P118" s="367" t="s">
        <v>528</v>
      </c>
      <c r="Q118" s="265">
        <v>266000</v>
      </c>
      <c r="R118" s="265">
        <v>0</v>
      </c>
      <c r="S118" s="265">
        <v>7845000</v>
      </c>
      <c r="T118" s="265">
        <v>0</v>
      </c>
      <c r="U118" s="265">
        <v>8111000</v>
      </c>
      <c r="V118" s="265">
        <v>0</v>
      </c>
      <c r="W118" s="265">
        <v>8111000</v>
      </c>
    </row>
    <row r="119" spans="10:23">
      <c r="J119" s="254">
        <v>2019</v>
      </c>
      <c r="K119" s="254">
        <v>2670</v>
      </c>
      <c r="L119" s="255" t="s">
        <v>257</v>
      </c>
      <c r="M119" s="254">
        <v>410</v>
      </c>
      <c r="N119" s="254">
        <v>430</v>
      </c>
      <c r="O119" s="367" t="s">
        <v>531</v>
      </c>
      <c r="P119" s="367" t="s">
        <v>200</v>
      </c>
      <c r="Q119" s="265">
        <v>0</v>
      </c>
      <c r="R119" s="265">
        <v>0</v>
      </c>
      <c r="S119" s="265">
        <v>0</v>
      </c>
      <c r="T119" s="265">
        <v>82695000</v>
      </c>
      <c r="U119" s="265">
        <v>82695000</v>
      </c>
      <c r="V119" s="265">
        <v>0</v>
      </c>
      <c r="W119" s="265">
        <v>82695000</v>
      </c>
    </row>
    <row r="120" spans="10:23">
      <c r="J120" s="254">
        <v>2019</v>
      </c>
      <c r="K120" s="254">
        <v>2670</v>
      </c>
      <c r="L120" s="255" t="s">
        <v>257</v>
      </c>
      <c r="M120" s="254">
        <v>410</v>
      </c>
      <c r="N120" s="254">
        <v>431</v>
      </c>
      <c r="O120" s="367" t="s">
        <v>531</v>
      </c>
      <c r="P120" s="367" t="s">
        <v>201</v>
      </c>
      <c r="Q120" s="265">
        <v>0</v>
      </c>
      <c r="R120" s="265">
        <v>0</v>
      </c>
      <c r="S120" s="265">
        <v>0</v>
      </c>
      <c r="T120" s="265">
        <v>12462000</v>
      </c>
      <c r="U120" s="265">
        <v>12462000</v>
      </c>
      <c r="V120" s="265">
        <v>0</v>
      </c>
      <c r="W120" s="265">
        <v>12462000</v>
      </c>
    </row>
    <row r="121" spans="10:23">
      <c r="J121" s="254">
        <v>2019</v>
      </c>
      <c r="K121" s="254">
        <v>2670</v>
      </c>
      <c r="L121" s="255" t="s">
        <v>257</v>
      </c>
      <c r="M121" s="254">
        <v>410</v>
      </c>
      <c r="N121" s="254">
        <v>432</v>
      </c>
      <c r="O121" s="367" t="s">
        <v>531</v>
      </c>
      <c r="P121" s="367" t="s">
        <v>152</v>
      </c>
      <c r="Q121" s="265">
        <v>0</v>
      </c>
      <c r="R121" s="265">
        <v>0</v>
      </c>
      <c r="S121" s="265">
        <v>36303000</v>
      </c>
      <c r="T121" s="265">
        <v>0</v>
      </c>
      <c r="U121" s="265">
        <v>36303000</v>
      </c>
      <c r="V121" s="265">
        <v>0</v>
      </c>
      <c r="W121" s="265">
        <v>36303000</v>
      </c>
    </row>
    <row r="122" spans="10:23">
      <c r="J122" s="254">
        <v>2019</v>
      </c>
      <c r="K122" s="254">
        <v>2670</v>
      </c>
      <c r="L122" s="255" t="s">
        <v>257</v>
      </c>
      <c r="M122" s="254">
        <v>410</v>
      </c>
      <c r="N122" s="254">
        <v>433</v>
      </c>
      <c r="O122" s="367" t="s">
        <v>531</v>
      </c>
      <c r="P122" s="367" t="s">
        <v>153</v>
      </c>
      <c r="Q122" s="265">
        <v>0</v>
      </c>
      <c r="R122" s="265">
        <v>0</v>
      </c>
      <c r="S122" s="265">
        <v>-35978000</v>
      </c>
      <c r="T122" s="265">
        <v>0</v>
      </c>
      <c r="U122" s="265">
        <v>-35978000</v>
      </c>
      <c r="V122" s="265">
        <v>0</v>
      </c>
      <c r="W122" s="265">
        <v>-35978000</v>
      </c>
    </row>
    <row r="123" spans="10:23">
      <c r="J123" s="254">
        <v>2019</v>
      </c>
      <c r="K123" s="254">
        <v>2670</v>
      </c>
      <c r="L123" s="255" t="s">
        <v>257</v>
      </c>
      <c r="M123" s="254">
        <v>410</v>
      </c>
      <c r="N123" s="254">
        <v>434</v>
      </c>
      <c r="O123" s="367" t="s">
        <v>531</v>
      </c>
      <c r="P123" s="367" t="s">
        <v>158</v>
      </c>
      <c r="Q123" s="265">
        <v>511000</v>
      </c>
      <c r="R123" s="265">
        <v>137000</v>
      </c>
      <c r="S123" s="265">
        <v>10135000</v>
      </c>
      <c r="T123" s="265">
        <v>126000</v>
      </c>
      <c r="U123" s="265">
        <v>10909000</v>
      </c>
      <c r="V123" s="265">
        <v>0</v>
      </c>
      <c r="W123" s="265">
        <v>10909000</v>
      </c>
    </row>
    <row r="124" spans="10:23">
      <c r="J124" s="254">
        <v>2019</v>
      </c>
      <c r="K124" s="254">
        <v>2670</v>
      </c>
      <c r="L124" s="255" t="s">
        <v>257</v>
      </c>
      <c r="M124" s="254">
        <v>410</v>
      </c>
      <c r="N124" s="254">
        <v>435</v>
      </c>
      <c r="O124" s="367" t="s">
        <v>531</v>
      </c>
      <c r="P124" s="367" t="s">
        <v>537</v>
      </c>
      <c r="Q124" s="265">
        <v>182465000</v>
      </c>
      <c r="R124" s="265">
        <v>43016000</v>
      </c>
      <c r="S124" s="265">
        <v>18607000</v>
      </c>
      <c r="T124" s="265">
        <v>108663000</v>
      </c>
      <c r="U124" s="265">
        <v>352751000</v>
      </c>
      <c r="V124" s="265">
        <v>0</v>
      </c>
      <c r="W124" s="265">
        <v>352751000</v>
      </c>
    </row>
    <row r="125" spans="10:23">
      <c r="J125" s="254">
        <v>2019</v>
      </c>
      <c r="K125" s="254">
        <v>3050</v>
      </c>
      <c r="L125" s="255" t="s">
        <v>254</v>
      </c>
      <c r="M125" s="254">
        <v>410</v>
      </c>
      <c r="N125" s="254">
        <v>401</v>
      </c>
      <c r="O125" s="367" t="s">
        <v>516</v>
      </c>
      <c r="P125" s="367" t="s">
        <v>203</v>
      </c>
      <c r="Q125" s="265">
        <v>85907000</v>
      </c>
      <c r="R125" s="265">
        <v>5288000</v>
      </c>
      <c r="S125" s="265">
        <v>32370000</v>
      </c>
      <c r="T125" s="265">
        <v>10570000</v>
      </c>
      <c r="U125" s="265">
        <v>134135000</v>
      </c>
      <c r="V125" s="265">
        <v>0</v>
      </c>
      <c r="W125" s="265">
        <v>134135000</v>
      </c>
    </row>
    <row r="126" spans="10:23">
      <c r="J126" s="254">
        <v>2019</v>
      </c>
      <c r="K126" s="254">
        <v>3050</v>
      </c>
      <c r="L126" s="255" t="s">
        <v>254</v>
      </c>
      <c r="M126" s="254">
        <v>410</v>
      </c>
      <c r="N126" s="254">
        <v>402</v>
      </c>
      <c r="O126" s="367" t="s">
        <v>516</v>
      </c>
      <c r="P126" s="367" t="s">
        <v>517</v>
      </c>
      <c r="Q126" s="265">
        <v>843287000</v>
      </c>
      <c r="R126" s="265">
        <v>0</v>
      </c>
      <c r="S126" s="265">
        <v>98541000</v>
      </c>
      <c r="T126" s="265">
        <v>0</v>
      </c>
      <c r="U126" s="265">
        <v>941828000</v>
      </c>
      <c r="V126" s="265">
        <v>0</v>
      </c>
      <c r="W126" s="265">
        <v>941828000</v>
      </c>
    </row>
    <row r="127" spans="10:23">
      <c r="J127" s="254">
        <v>2019</v>
      </c>
      <c r="K127" s="254">
        <v>3050</v>
      </c>
      <c r="L127" s="255" t="s">
        <v>254</v>
      </c>
      <c r="M127" s="254">
        <v>410</v>
      </c>
      <c r="N127" s="254">
        <v>403</v>
      </c>
      <c r="O127" s="367" t="s">
        <v>516</v>
      </c>
      <c r="P127" s="367" t="s">
        <v>518</v>
      </c>
      <c r="Q127" s="265">
        <v>720802000</v>
      </c>
      <c r="R127" s="265">
        <v>0</v>
      </c>
      <c r="S127" s="265">
        <v>103359000</v>
      </c>
      <c r="T127" s="265">
        <v>0</v>
      </c>
      <c r="U127" s="265">
        <v>824161000</v>
      </c>
      <c r="V127" s="265">
        <v>0</v>
      </c>
      <c r="W127" s="265">
        <v>824161000</v>
      </c>
    </row>
    <row r="128" spans="10:23">
      <c r="J128" s="254">
        <v>2019</v>
      </c>
      <c r="K128" s="254">
        <v>3050</v>
      </c>
      <c r="L128" s="255" t="s">
        <v>254</v>
      </c>
      <c r="M128" s="254">
        <v>410</v>
      </c>
      <c r="N128" s="254">
        <v>404</v>
      </c>
      <c r="O128" s="367" t="s">
        <v>516</v>
      </c>
      <c r="P128" s="367" t="s">
        <v>519</v>
      </c>
      <c r="Q128" s="265">
        <v>61426000</v>
      </c>
      <c r="R128" s="265">
        <v>0</v>
      </c>
      <c r="S128" s="265">
        <v>-455000</v>
      </c>
      <c r="T128" s="265">
        <v>0</v>
      </c>
      <c r="U128" s="265">
        <v>60971000</v>
      </c>
      <c r="V128" s="265">
        <v>0</v>
      </c>
      <c r="W128" s="265">
        <v>60971000</v>
      </c>
    </row>
    <row r="129" spans="10:23">
      <c r="J129" s="254">
        <v>2019</v>
      </c>
      <c r="K129" s="254">
        <v>3050</v>
      </c>
      <c r="L129" s="255" t="s">
        <v>254</v>
      </c>
      <c r="M129" s="254">
        <v>410</v>
      </c>
      <c r="N129" s="254">
        <v>405</v>
      </c>
      <c r="O129" s="367" t="s">
        <v>516</v>
      </c>
      <c r="P129" s="367" t="s">
        <v>520</v>
      </c>
      <c r="Q129" s="265">
        <v>0</v>
      </c>
      <c r="R129" s="265">
        <v>0</v>
      </c>
      <c r="S129" s="265">
        <v>6398000</v>
      </c>
      <c r="T129" s="265">
        <v>0</v>
      </c>
      <c r="U129" s="265">
        <v>6398000</v>
      </c>
      <c r="V129" s="265">
        <v>0</v>
      </c>
      <c r="W129" s="265">
        <v>6398000</v>
      </c>
    </row>
    <row r="130" spans="10:23">
      <c r="J130" s="254">
        <v>2019</v>
      </c>
      <c r="K130" s="254">
        <v>3050</v>
      </c>
      <c r="L130" s="255" t="s">
        <v>254</v>
      </c>
      <c r="M130" s="254">
        <v>410</v>
      </c>
      <c r="N130" s="254">
        <v>406</v>
      </c>
      <c r="O130" s="367" t="s">
        <v>516</v>
      </c>
      <c r="P130" s="367" t="s">
        <v>521</v>
      </c>
      <c r="Q130" s="265">
        <v>4845000</v>
      </c>
      <c r="R130" s="265">
        <v>0</v>
      </c>
      <c r="S130" s="265">
        <v>0</v>
      </c>
      <c r="T130" s="265">
        <v>0</v>
      </c>
      <c r="U130" s="265">
        <v>4845000</v>
      </c>
      <c r="V130" s="265">
        <v>0</v>
      </c>
      <c r="W130" s="265">
        <v>4845000</v>
      </c>
    </row>
    <row r="131" spans="10:23">
      <c r="J131" s="254">
        <v>2019</v>
      </c>
      <c r="K131" s="254">
        <v>3050</v>
      </c>
      <c r="L131" s="255" t="s">
        <v>254</v>
      </c>
      <c r="M131" s="254">
        <v>410</v>
      </c>
      <c r="N131" s="254">
        <v>407</v>
      </c>
      <c r="O131" s="367" t="s">
        <v>516</v>
      </c>
      <c r="P131" s="367" t="s">
        <v>522</v>
      </c>
      <c r="Q131" s="265">
        <v>0</v>
      </c>
      <c r="R131" s="265">
        <v>0</v>
      </c>
      <c r="S131" s="265">
        <v>9322000</v>
      </c>
      <c r="T131" s="265">
        <v>0</v>
      </c>
      <c r="U131" s="265">
        <v>9322000</v>
      </c>
      <c r="V131" s="265">
        <v>0</v>
      </c>
      <c r="W131" s="265">
        <v>9322000</v>
      </c>
    </row>
    <row r="132" spans="10:23">
      <c r="J132" s="254">
        <v>2019</v>
      </c>
      <c r="K132" s="254">
        <v>3050</v>
      </c>
      <c r="L132" s="255" t="s">
        <v>254</v>
      </c>
      <c r="M132" s="254">
        <v>410</v>
      </c>
      <c r="N132" s="254">
        <v>408</v>
      </c>
      <c r="O132" s="367" t="s">
        <v>516</v>
      </c>
      <c r="P132" s="367" t="s">
        <v>523</v>
      </c>
      <c r="Q132" s="265">
        <v>74699000</v>
      </c>
      <c r="R132" s="265">
        <v>0</v>
      </c>
      <c r="S132" s="265">
        <v>0</v>
      </c>
      <c r="T132" s="265">
        <v>0</v>
      </c>
      <c r="U132" s="265">
        <v>74699000</v>
      </c>
      <c r="V132" s="265">
        <v>0</v>
      </c>
      <c r="W132" s="265">
        <v>74699000</v>
      </c>
    </row>
    <row r="133" spans="10:23">
      <c r="J133" s="254">
        <v>2019</v>
      </c>
      <c r="K133" s="254">
        <v>3050</v>
      </c>
      <c r="L133" s="255" t="s">
        <v>254</v>
      </c>
      <c r="M133" s="254">
        <v>410</v>
      </c>
      <c r="N133" s="254">
        <v>409</v>
      </c>
      <c r="O133" s="367" t="s">
        <v>516</v>
      </c>
      <c r="P133" s="367" t="s">
        <v>524</v>
      </c>
      <c r="Q133" s="265">
        <v>0</v>
      </c>
      <c r="R133" s="265">
        <v>2709719000</v>
      </c>
      <c r="S133" s="265">
        <v>0</v>
      </c>
      <c r="T133" s="265">
        <v>0</v>
      </c>
      <c r="U133" s="265">
        <v>2709719000</v>
      </c>
      <c r="V133" s="265">
        <v>0</v>
      </c>
      <c r="W133" s="265">
        <v>2709719000</v>
      </c>
    </row>
    <row r="134" spans="10:23">
      <c r="J134" s="254">
        <v>2019</v>
      </c>
      <c r="K134" s="254">
        <v>3050</v>
      </c>
      <c r="L134" s="255" t="s">
        <v>254</v>
      </c>
      <c r="M134" s="254">
        <v>410</v>
      </c>
      <c r="N134" s="254">
        <v>410</v>
      </c>
      <c r="O134" s="367" t="s">
        <v>516</v>
      </c>
      <c r="P134" s="367" t="s">
        <v>525</v>
      </c>
      <c r="Q134" s="265">
        <v>0</v>
      </c>
      <c r="R134" s="265">
        <v>0</v>
      </c>
      <c r="S134" s="265">
        <v>0</v>
      </c>
      <c r="T134" s="265">
        <v>0</v>
      </c>
      <c r="U134" s="265">
        <v>0</v>
      </c>
      <c r="V134" s="265">
        <v>0</v>
      </c>
      <c r="W134" s="265">
        <v>0</v>
      </c>
    </row>
    <row r="135" spans="10:23">
      <c r="J135" s="254">
        <v>2019</v>
      </c>
      <c r="K135" s="254">
        <v>3050</v>
      </c>
      <c r="L135" s="255" t="s">
        <v>254</v>
      </c>
      <c r="M135" s="254">
        <v>410</v>
      </c>
      <c r="N135" s="254">
        <v>411</v>
      </c>
      <c r="O135" s="367" t="s">
        <v>516</v>
      </c>
      <c r="P135" s="367" t="s">
        <v>526</v>
      </c>
      <c r="Q135" s="265">
        <v>70059000</v>
      </c>
      <c r="R135" s="265">
        <v>128000</v>
      </c>
      <c r="S135" s="265">
        <v>-9292000</v>
      </c>
      <c r="T135" s="265">
        <v>0</v>
      </c>
      <c r="U135" s="265">
        <v>60895000</v>
      </c>
      <c r="V135" s="265">
        <v>0</v>
      </c>
      <c r="W135" s="265">
        <v>60895000</v>
      </c>
    </row>
    <row r="136" spans="10:23">
      <c r="J136" s="254">
        <v>2019</v>
      </c>
      <c r="K136" s="254">
        <v>3050</v>
      </c>
      <c r="L136" s="255" t="s">
        <v>254</v>
      </c>
      <c r="M136" s="254">
        <v>410</v>
      </c>
      <c r="N136" s="254">
        <v>412</v>
      </c>
      <c r="O136" s="367" t="s">
        <v>516</v>
      </c>
      <c r="P136" s="367" t="s">
        <v>527</v>
      </c>
      <c r="Q136" s="265">
        <v>0</v>
      </c>
      <c r="R136" s="265">
        <v>0</v>
      </c>
      <c r="S136" s="265">
        <v>0</v>
      </c>
      <c r="T136" s="265">
        <v>0</v>
      </c>
      <c r="U136" s="265">
        <v>0</v>
      </c>
      <c r="V136" s="265">
        <v>0</v>
      </c>
      <c r="W136" s="265">
        <v>0</v>
      </c>
    </row>
    <row r="137" spans="10:23">
      <c r="J137" s="254">
        <v>2019</v>
      </c>
      <c r="K137" s="254">
        <v>3050</v>
      </c>
      <c r="L137" s="255" t="s">
        <v>254</v>
      </c>
      <c r="M137" s="254">
        <v>410</v>
      </c>
      <c r="N137" s="254">
        <v>413</v>
      </c>
      <c r="O137" s="367" t="s">
        <v>516</v>
      </c>
      <c r="P137" s="367" t="s">
        <v>528</v>
      </c>
      <c r="Q137" s="265">
        <v>0</v>
      </c>
      <c r="R137" s="265">
        <v>0</v>
      </c>
      <c r="S137" s="265">
        <v>68243000</v>
      </c>
      <c r="T137" s="265">
        <v>0</v>
      </c>
      <c r="U137" s="265">
        <v>68243000</v>
      </c>
      <c r="V137" s="265">
        <v>0</v>
      </c>
      <c r="W137" s="265">
        <v>68243000</v>
      </c>
    </row>
    <row r="138" spans="10:23">
      <c r="J138" s="254">
        <v>2019</v>
      </c>
      <c r="K138" s="254">
        <v>3050</v>
      </c>
      <c r="L138" s="255" t="s">
        <v>254</v>
      </c>
      <c r="M138" s="254">
        <v>410</v>
      </c>
      <c r="N138" s="254">
        <v>414</v>
      </c>
      <c r="O138" s="367" t="s">
        <v>516</v>
      </c>
      <c r="P138" s="367" t="s">
        <v>200</v>
      </c>
      <c r="Q138" s="265">
        <v>0</v>
      </c>
      <c r="R138" s="265">
        <v>0</v>
      </c>
      <c r="S138" s="265">
        <v>0</v>
      </c>
      <c r="T138" s="265">
        <v>697967000</v>
      </c>
      <c r="U138" s="265">
        <v>697967000</v>
      </c>
      <c r="V138" s="265">
        <v>0</v>
      </c>
      <c r="W138" s="265">
        <v>697967000</v>
      </c>
    </row>
    <row r="139" spans="10:23">
      <c r="J139" s="254">
        <v>2019</v>
      </c>
      <c r="K139" s="254">
        <v>3050</v>
      </c>
      <c r="L139" s="255" t="s">
        <v>254</v>
      </c>
      <c r="M139" s="254">
        <v>410</v>
      </c>
      <c r="N139" s="254">
        <v>415</v>
      </c>
      <c r="O139" s="367" t="s">
        <v>516</v>
      </c>
      <c r="P139" s="367" t="s">
        <v>201</v>
      </c>
      <c r="Q139" s="265">
        <v>0</v>
      </c>
      <c r="R139" s="265">
        <v>0</v>
      </c>
      <c r="S139" s="265">
        <v>0</v>
      </c>
      <c r="T139" s="265">
        <v>79548000</v>
      </c>
      <c r="U139" s="265">
        <v>79548000</v>
      </c>
      <c r="V139" s="265">
        <v>0</v>
      </c>
      <c r="W139" s="265">
        <v>79548000</v>
      </c>
    </row>
    <row r="140" spans="10:23">
      <c r="J140" s="254">
        <v>2019</v>
      </c>
      <c r="K140" s="254">
        <v>3050</v>
      </c>
      <c r="L140" s="255" t="s">
        <v>254</v>
      </c>
      <c r="M140" s="254">
        <v>410</v>
      </c>
      <c r="N140" s="254">
        <v>416</v>
      </c>
      <c r="O140" s="367" t="s">
        <v>516</v>
      </c>
      <c r="P140" s="367" t="s">
        <v>529</v>
      </c>
      <c r="Q140" s="265">
        <v>0</v>
      </c>
      <c r="R140" s="265">
        <v>0</v>
      </c>
      <c r="S140" s="265">
        <v>3062000</v>
      </c>
      <c r="T140" s="265">
        <v>0</v>
      </c>
      <c r="U140" s="265">
        <v>3062000</v>
      </c>
      <c r="V140" s="265">
        <v>0</v>
      </c>
      <c r="W140" s="265">
        <v>3062000</v>
      </c>
    </row>
    <row r="141" spans="10:23">
      <c r="J141" s="254">
        <v>2019</v>
      </c>
      <c r="K141" s="254">
        <v>3050</v>
      </c>
      <c r="L141" s="255" t="s">
        <v>254</v>
      </c>
      <c r="M141" s="254">
        <v>410</v>
      </c>
      <c r="N141" s="254">
        <v>417</v>
      </c>
      <c r="O141" s="367" t="s">
        <v>516</v>
      </c>
      <c r="P141" s="367" t="s">
        <v>153</v>
      </c>
      <c r="Q141" s="265">
        <v>0</v>
      </c>
      <c r="R141" s="265">
        <v>0</v>
      </c>
      <c r="S141" s="265">
        <v>-2003000</v>
      </c>
      <c r="T141" s="265">
        <v>0</v>
      </c>
      <c r="U141" s="265">
        <v>-2003000</v>
      </c>
      <c r="V141" s="265">
        <v>0</v>
      </c>
      <c r="W141" s="265">
        <v>-2003000</v>
      </c>
    </row>
    <row r="142" spans="10:23">
      <c r="J142" s="254">
        <v>2019</v>
      </c>
      <c r="K142" s="254">
        <v>3050</v>
      </c>
      <c r="L142" s="255" t="s">
        <v>254</v>
      </c>
      <c r="M142" s="254">
        <v>410</v>
      </c>
      <c r="N142" s="254">
        <v>418</v>
      </c>
      <c r="O142" s="367" t="s">
        <v>516</v>
      </c>
      <c r="P142" s="367" t="s">
        <v>158</v>
      </c>
      <c r="Q142" s="265">
        <v>2311000</v>
      </c>
      <c r="R142" s="265">
        <v>1443000</v>
      </c>
      <c r="S142" s="265">
        <v>756143000</v>
      </c>
      <c r="T142" s="265">
        <v>7708000</v>
      </c>
      <c r="U142" s="265">
        <v>767605000</v>
      </c>
      <c r="V142" s="265">
        <v>0</v>
      </c>
      <c r="W142" s="265">
        <v>767605000</v>
      </c>
    </row>
    <row r="143" spans="10:23">
      <c r="J143" s="254">
        <v>2019</v>
      </c>
      <c r="K143" s="254">
        <v>3050</v>
      </c>
      <c r="L143" s="255" t="s">
        <v>254</v>
      </c>
      <c r="M143" s="254">
        <v>410</v>
      </c>
      <c r="N143" s="254">
        <v>419</v>
      </c>
      <c r="O143" s="367" t="s">
        <v>516</v>
      </c>
      <c r="P143" s="367" t="s">
        <v>530</v>
      </c>
      <c r="Q143" s="265">
        <v>1863336000</v>
      </c>
      <c r="R143" s="265">
        <v>2716578000</v>
      </c>
      <c r="S143" s="265">
        <v>1065688000</v>
      </c>
      <c r="T143" s="265">
        <v>795793000</v>
      </c>
      <c r="U143" s="265">
        <v>6441395000</v>
      </c>
      <c r="V143" s="265">
        <v>0</v>
      </c>
      <c r="W143" s="265">
        <v>6441395000</v>
      </c>
    </row>
    <row r="144" spans="10:23">
      <c r="J144" s="254">
        <v>2019</v>
      </c>
      <c r="K144" s="254">
        <v>3050</v>
      </c>
      <c r="L144" s="255" t="s">
        <v>254</v>
      </c>
      <c r="M144" s="254">
        <v>410</v>
      </c>
      <c r="N144" s="254">
        <v>420</v>
      </c>
      <c r="O144" s="367" t="s">
        <v>531</v>
      </c>
      <c r="P144" s="367" t="s">
        <v>203</v>
      </c>
      <c r="Q144" s="265">
        <v>18574000</v>
      </c>
      <c r="R144" s="265">
        <v>1058000</v>
      </c>
      <c r="S144" s="265">
        <v>7157000</v>
      </c>
      <c r="T144" s="265">
        <v>2127000</v>
      </c>
      <c r="U144" s="265">
        <v>28916000</v>
      </c>
      <c r="V144" s="265">
        <v>0</v>
      </c>
      <c r="W144" s="265">
        <v>28916000</v>
      </c>
    </row>
    <row r="145" spans="10:23">
      <c r="J145" s="254">
        <v>2019</v>
      </c>
      <c r="K145" s="254">
        <v>3050</v>
      </c>
      <c r="L145" s="255" t="s">
        <v>254</v>
      </c>
      <c r="M145" s="254">
        <v>410</v>
      </c>
      <c r="N145" s="254">
        <v>421</v>
      </c>
      <c r="O145" s="367" t="s">
        <v>531</v>
      </c>
      <c r="P145" s="367" t="s">
        <v>532</v>
      </c>
      <c r="Q145" s="265">
        <v>338827000</v>
      </c>
      <c r="R145" s="265">
        <v>70000</v>
      </c>
      <c r="S145" s="265">
        <v>53972000</v>
      </c>
      <c r="T145" s="265">
        <v>0</v>
      </c>
      <c r="U145" s="265">
        <v>392869000</v>
      </c>
      <c r="V145" s="265">
        <v>0</v>
      </c>
      <c r="W145" s="265">
        <v>392869000</v>
      </c>
    </row>
    <row r="146" spans="10:23">
      <c r="J146" s="254">
        <v>2019</v>
      </c>
      <c r="K146" s="254">
        <v>3050</v>
      </c>
      <c r="L146" s="255" t="s">
        <v>254</v>
      </c>
      <c r="M146" s="254">
        <v>410</v>
      </c>
      <c r="N146" s="254">
        <v>422</v>
      </c>
      <c r="O146" s="367" t="s">
        <v>531</v>
      </c>
      <c r="P146" s="367" t="s">
        <v>533</v>
      </c>
      <c r="Q146" s="265">
        <v>45302000</v>
      </c>
      <c r="R146" s="265">
        <v>0</v>
      </c>
      <c r="S146" s="265">
        <v>923000</v>
      </c>
      <c r="T146" s="265">
        <v>0</v>
      </c>
      <c r="U146" s="265">
        <v>46225000</v>
      </c>
      <c r="V146" s="265">
        <v>0</v>
      </c>
      <c r="W146" s="265">
        <v>46225000</v>
      </c>
    </row>
    <row r="147" spans="10:23">
      <c r="J147" s="254">
        <v>2019</v>
      </c>
      <c r="K147" s="254">
        <v>3050</v>
      </c>
      <c r="L147" s="255" t="s">
        <v>254</v>
      </c>
      <c r="M147" s="254">
        <v>410</v>
      </c>
      <c r="N147" s="254">
        <v>423</v>
      </c>
      <c r="O147" s="367" t="s">
        <v>531</v>
      </c>
      <c r="P147" s="367" t="s">
        <v>534</v>
      </c>
      <c r="Q147" s="265">
        <v>91000</v>
      </c>
      <c r="R147" s="265">
        <v>95000</v>
      </c>
      <c r="S147" s="265">
        <v>911000</v>
      </c>
      <c r="T147" s="265">
        <v>0</v>
      </c>
      <c r="U147" s="265">
        <v>1097000</v>
      </c>
      <c r="V147" s="265">
        <v>0</v>
      </c>
      <c r="W147" s="265">
        <v>1097000</v>
      </c>
    </row>
    <row r="148" spans="10:23">
      <c r="J148" s="254">
        <v>2019</v>
      </c>
      <c r="K148" s="254">
        <v>3050</v>
      </c>
      <c r="L148" s="255" t="s">
        <v>254</v>
      </c>
      <c r="M148" s="254">
        <v>410</v>
      </c>
      <c r="N148" s="254">
        <v>424</v>
      </c>
      <c r="O148" s="367" t="s">
        <v>531</v>
      </c>
      <c r="P148" s="367" t="s">
        <v>535</v>
      </c>
      <c r="Q148" s="265">
        <v>0</v>
      </c>
      <c r="R148" s="265">
        <v>0</v>
      </c>
      <c r="S148" s="265">
        <v>773000</v>
      </c>
      <c r="T148" s="265">
        <v>0</v>
      </c>
      <c r="U148" s="265">
        <v>773000</v>
      </c>
      <c r="V148" s="265">
        <v>0</v>
      </c>
      <c r="W148" s="265">
        <v>773000</v>
      </c>
    </row>
    <row r="149" spans="10:23">
      <c r="J149" s="254">
        <v>2019</v>
      </c>
      <c r="K149" s="254">
        <v>3050</v>
      </c>
      <c r="L149" s="255" t="s">
        <v>254</v>
      </c>
      <c r="M149" s="254">
        <v>410</v>
      </c>
      <c r="N149" s="254">
        <v>425</v>
      </c>
      <c r="O149" s="367" t="s">
        <v>531</v>
      </c>
      <c r="P149" s="367" t="s">
        <v>524</v>
      </c>
      <c r="Q149" s="265">
        <v>0</v>
      </c>
      <c r="R149" s="265">
        <v>96538000</v>
      </c>
      <c r="S149" s="265">
        <v>0</v>
      </c>
      <c r="T149" s="265">
        <v>0</v>
      </c>
      <c r="U149" s="265">
        <v>96538000</v>
      </c>
      <c r="V149" s="265">
        <v>0</v>
      </c>
      <c r="W149" s="265">
        <v>96538000</v>
      </c>
    </row>
    <row r="150" spans="10:23">
      <c r="J150" s="254">
        <v>2019</v>
      </c>
      <c r="K150" s="254">
        <v>3050</v>
      </c>
      <c r="L150" s="255" t="s">
        <v>254</v>
      </c>
      <c r="M150" s="254">
        <v>410</v>
      </c>
      <c r="N150" s="254">
        <v>426</v>
      </c>
      <c r="O150" s="367" t="s">
        <v>531</v>
      </c>
      <c r="P150" s="367" t="s">
        <v>525</v>
      </c>
      <c r="Q150" s="265">
        <v>0</v>
      </c>
      <c r="R150" s="265">
        <v>0</v>
      </c>
      <c r="S150" s="265">
        <v>0</v>
      </c>
      <c r="T150" s="265">
        <v>0</v>
      </c>
      <c r="U150" s="265">
        <v>0</v>
      </c>
      <c r="V150" s="265">
        <v>0</v>
      </c>
      <c r="W150" s="265">
        <v>0</v>
      </c>
    </row>
    <row r="151" spans="10:23">
      <c r="J151" s="254">
        <v>2019</v>
      </c>
      <c r="K151" s="254">
        <v>3050</v>
      </c>
      <c r="L151" s="255" t="s">
        <v>254</v>
      </c>
      <c r="M151" s="254">
        <v>410</v>
      </c>
      <c r="N151" s="254">
        <v>427</v>
      </c>
      <c r="O151" s="367" t="s">
        <v>531</v>
      </c>
      <c r="P151" s="367" t="s">
        <v>526</v>
      </c>
      <c r="Q151" s="265">
        <v>9168000</v>
      </c>
      <c r="R151" s="265">
        <v>0</v>
      </c>
      <c r="S151" s="265">
        <v>0</v>
      </c>
      <c r="T151" s="265">
        <v>0</v>
      </c>
      <c r="U151" s="265">
        <v>9168000</v>
      </c>
      <c r="V151" s="265">
        <v>0</v>
      </c>
      <c r="W151" s="265">
        <v>9168000</v>
      </c>
    </row>
    <row r="152" spans="10:23">
      <c r="J152" s="254">
        <v>2019</v>
      </c>
      <c r="K152" s="254">
        <v>3050</v>
      </c>
      <c r="L152" s="255" t="s">
        <v>254</v>
      </c>
      <c r="M152" s="254">
        <v>410</v>
      </c>
      <c r="N152" s="254">
        <v>428</v>
      </c>
      <c r="O152" s="367" t="s">
        <v>531</v>
      </c>
      <c r="P152" s="367" t="s">
        <v>536</v>
      </c>
      <c r="Q152" s="265">
        <v>0</v>
      </c>
      <c r="R152" s="265">
        <v>0</v>
      </c>
      <c r="S152" s="265">
        <v>0</v>
      </c>
      <c r="T152" s="265">
        <v>0</v>
      </c>
      <c r="U152" s="265">
        <v>0</v>
      </c>
      <c r="V152" s="265">
        <v>0</v>
      </c>
      <c r="W152" s="265">
        <v>0</v>
      </c>
    </row>
    <row r="153" spans="10:23">
      <c r="J153" s="254">
        <v>2019</v>
      </c>
      <c r="K153" s="254">
        <v>3050</v>
      </c>
      <c r="L153" s="255" t="s">
        <v>254</v>
      </c>
      <c r="M153" s="254">
        <v>410</v>
      </c>
      <c r="N153" s="254">
        <v>429</v>
      </c>
      <c r="O153" s="367" t="s">
        <v>531</v>
      </c>
      <c r="P153" s="367" t="s">
        <v>528</v>
      </c>
      <c r="Q153" s="265">
        <v>0</v>
      </c>
      <c r="R153" s="265">
        <v>0</v>
      </c>
      <c r="S153" s="265">
        <v>0</v>
      </c>
      <c r="T153" s="265">
        <v>0</v>
      </c>
      <c r="U153" s="265">
        <v>0</v>
      </c>
      <c r="V153" s="265">
        <v>0</v>
      </c>
      <c r="W153" s="265">
        <v>0</v>
      </c>
    </row>
    <row r="154" spans="10:23">
      <c r="J154" s="254">
        <v>2019</v>
      </c>
      <c r="K154" s="254">
        <v>3050</v>
      </c>
      <c r="L154" s="255" t="s">
        <v>254</v>
      </c>
      <c r="M154" s="254">
        <v>410</v>
      </c>
      <c r="N154" s="254">
        <v>430</v>
      </c>
      <c r="O154" s="367" t="s">
        <v>531</v>
      </c>
      <c r="P154" s="367" t="s">
        <v>200</v>
      </c>
      <c r="Q154" s="265">
        <v>0</v>
      </c>
      <c r="R154" s="265">
        <v>0</v>
      </c>
      <c r="S154" s="265">
        <v>0</v>
      </c>
      <c r="T154" s="265">
        <v>157662000</v>
      </c>
      <c r="U154" s="265">
        <v>157662000</v>
      </c>
      <c r="V154" s="265">
        <v>0</v>
      </c>
      <c r="W154" s="265">
        <v>157662000</v>
      </c>
    </row>
    <row r="155" spans="10:23">
      <c r="J155" s="254">
        <v>2019</v>
      </c>
      <c r="K155" s="254">
        <v>3050</v>
      </c>
      <c r="L155" s="255" t="s">
        <v>254</v>
      </c>
      <c r="M155" s="254">
        <v>410</v>
      </c>
      <c r="N155" s="254">
        <v>431</v>
      </c>
      <c r="O155" s="367" t="s">
        <v>531</v>
      </c>
      <c r="P155" s="367" t="s">
        <v>201</v>
      </c>
      <c r="Q155" s="265">
        <v>0</v>
      </c>
      <c r="R155" s="265">
        <v>0</v>
      </c>
      <c r="S155" s="265">
        <v>0</v>
      </c>
      <c r="T155" s="265">
        <v>17587000</v>
      </c>
      <c r="U155" s="265">
        <v>17587000</v>
      </c>
      <c r="V155" s="265">
        <v>0</v>
      </c>
      <c r="W155" s="265">
        <v>17587000</v>
      </c>
    </row>
    <row r="156" spans="10:23">
      <c r="J156" s="254">
        <v>2019</v>
      </c>
      <c r="K156" s="254">
        <v>3050</v>
      </c>
      <c r="L156" s="255" t="s">
        <v>254</v>
      </c>
      <c r="M156" s="254">
        <v>410</v>
      </c>
      <c r="N156" s="254">
        <v>432</v>
      </c>
      <c r="O156" s="367" t="s">
        <v>531</v>
      </c>
      <c r="P156" s="367" t="s">
        <v>152</v>
      </c>
      <c r="Q156" s="265">
        <v>0</v>
      </c>
      <c r="R156" s="265">
        <v>0</v>
      </c>
      <c r="S156" s="265">
        <v>17903000</v>
      </c>
      <c r="T156" s="265">
        <v>0</v>
      </c>
      <c r="U156" s="265">
        <v>17903000</v>
      </c>
      <c r="V156" s="265">
        <v>0</v>
      </c>
      <c r="W156" s="265">
        <v>17903000</v>
      </c>
    </row>
    <row r="157" spans="10:23">
      <c r="J157" s="254">
        <v>2019</v>
      </c>
      <c r="K157" s="254">
        <v>3050</v>
      </c>
      <c r="L157" s="255" t="s">
        <v>254</v>
      </c>
      <c r="M157" s="254">
        <v>410</v>
      </c>
      <c r="N157" s="254">
        <v>433</v>
      </c>
      <c r="O157" s="367" t="s">
        <v>531</v>
      </c>
      <c r="P157" s="367" t="s">
        <v>153</v>
      </c>
      <c r="Q157" s="265">
        <v>0</v>
      </c>
      <c r="R157" s="265">
        <v>0</v>
      </c>
      <c r="S157" s="265">
        <v>0</v>
      </c>
      <c r="T157" s="265">
        <v>0</v>
      </c>
      <c r="U157" s="265">
        <v>0</v>
      </c>
      <c r="V157" s="265">
        <v>0</v>
      </c>
      <c r="W157" s="265">
        <v>0</v>
      </c>
    </row>
    <row r="158" spans="10:23">
      <c r="J158" s="254">
        <v>2019</v>
      </c>
      <c r="K158" s="254">
        <v>3050</v>
      </c>
      <c r="L158" s="255" t="s">
        <v>254</v>
      </c>
      <c r="M158" s="254">
        <v>410</v>
      </c>
      <c r="N158" s="254">
        <v>434</v>
      </c>
      <c r="O158" s="367" t="s">
        <v>531</v>
      </c>
      <c r="P158" s="367" t="s">
        <v>158</v>
      </c>
      <c r="Q158" s="265">
        <v>0</v>
      </c>
      <c r="R158" s="265">
        <v>11000</v>
      </c>
      <c r="S158" s="265">
        <v>213000</v>
      </c>
      <c r="T158" s="265">
        <v>0</v>
      </c>
      <c r="U158" s="265">
        <v>224000</v>
      </c>
      <c r="V158" s="265">
        <v>0</v>
      </c>
      <c r="W158" s="265">
        <v>224000</v>
      </c>
    </row>
    <row r="159" spans="10:23">
      <c r="J159" s="254">
        <v>2019</v>
      </c>
      <c r="K159" s="254">
        <v>3050</v>
      </c>
      <c r="L159" s="255" t="s">
        <v>254</v>
      </c>
      <c r="M159" s="254">
        <v>410</v>
      </c>
      <c r="N159" s="254">
        <v>435</v>
      </c>
      <c r="O159" s="367" t="s">
        <v>531</v>
      </c>
      <c r="P159" s="367" t="s">
        <v>537</v>
      </c>
      <c r="Q159" s="265">
        <v>411962000</v>
      </c>
      <c r="R159" s="265">
        <v>97772000</v>
      </c>
      <c r="S159" s="265">
        <v>81852000</v>
      </c>
      <c r="T159" s="265">
        <v>177376000</v>
      </c>
      <c r="U159" s="265">
        <v>768962000</v>
      </c>
      <c r="V159" s="265">
        <v>0</v>
      </c>
      <c r="W159" s="265">
        <v>768962000</v>
      </c>
    </row>
    <row r="160" spans="10:23">
      <c r="J160" s="254">
        <v>2019</v>
      </c>
      <c r="K160" s="254">
        <v>3410</v>
      </c>
      <c r="L160" s="255" t="s">
        <v>253</v>
      </c>
      <c r="M160" s="254">
        <v>410</v>
      </c>
      <c r="N160" s="254">
        <v>401</v>
      </c>
      <c r="O160" s="367" t="s">
        <v>516</v>
      </c>
      <c r="P160" s="367" t="s">
        <v>203</v>
      </c>
      <c r="Q160" s="265">
        <v>15576000</v>
      </c>
      <c r="R160" s="265">
        <v>1410000</v>
      </c>
      <c r="S160" s="265">
        <v>3210000</v>
      </c>
      <c r="T160" s="265">
        <v>933000</v>
      </c>
      <c r="U160" s="265">
        <v>21129000</v>
      </c>
      <c r="V160" s="265">
        <v>0</v>
      </c>
      <c r="W160" s="265">
        <v>21129000</v>
      </c>
    </row>
    <row r="161" spans="10:23">
      <c r="J161" s="254">
        <v>2019</v>
      </c>
      <c r="K161" s="254">
        <v>3410</v>
      </c>
      <c r="L161" s="255" t="s">
        <v>253</v>
      </c>
      <c r="M161" s="254">
        <v>410</v>
      </c>
      <c r="N161" s="254">
        <v>402</v>
      </c>
      <c r="O161" s="367" t="s">
        <v>516</v>
      </c>
      <c r="P161" s="367" t="s">
        <v>517</v>
      </c>
      <c r="Q161" s="265">
        <v>47497000</v>
      </c>
      <c r="R161" s="265">
        <v>0</v>
      </c>
      <c r="S161" s="265">
        <v>33000</v>
      </c>
      <c r="T161" s="265">
        <v>6264000</v>
      </c>
      <c r="U161" s="265">
        <v>53794000</v>
      </c>
      <c r="V161" s="265">
        <v>0</v>
      </c>
      <c r="W161" s="265">
        <v>53794000</v>
      </c>
    </row>
    <row r="162" spans="10:23">
      <c r="J162" s="254">
        <v>2019</v>
      </c>
      <c r="K162" s="254">
        <v>3410</v>
      </c>
      <c r="L162" s="255" t="s">
        <v>253</v>
      </c>
      <c r="M162" s="254">
        <v>410</v>
      </c>
      <c r="N162" s="254">
        <v>403</v>
      </c>
      <c r="O162" s="367" t="s">
        <v>516</v>
      </c>
      <c r="P162" s="367" t="s">
        <v>518</v>
      </c>
      <c r="Q162" s="265">
        <v>52226000</v>
      </c>
      <c r="R162" s="265">
        <v>0</v>
      </c>
      <c r="S162" s="265">
        <v>2000</v>
      </c>
      <c r="T162" s="265">
        <v>9661000</v>
      </c>
      <c r="U162" s="265">
        <v>61889000</v>
      </c>
      <c r="V162" s="265">
        <v>0</v>
      </c>
      <c r="W162" s="265">
        <v>61889000</v>
      </c>
    </row>
    <row r="163" spans="10:23">
      <c r="J163" s="254">
        <v>2019</v>
      </c>
      <c r="K163" s="254">
        <v>3410</v>
      </c>
      <c r="L163" s="255" t="s">
        <v>253</v>
      </c>
      <c r="M163" s="254">
        <v>410</v>
      </c>
      <c r="N163" s="254">
        <v>404</v>
      </c>
      <c r="O163" s="367" t="s">
        <v>516</v>
      </c>
      <c r="P163" s="367" t="s">
        <v>519</v>
      </c>
      <c r="Q163" s="265">
        <v>7096000</v>
      </c>
      <c r="R163" s="265">
        <v>6000</v>
      </c>
      <c r="S163" s="265">
        <v>1000</v>
      </c>
      <c r="T163" s="265">
        <v>1051000</v>
      </c>
      <c r="U163" s="265">
        <v>8154000</v>
      </c>
      <c r="V163" s="265">
        <v>0</v>
      </c>
      <c r="W163" s="265">
        <v>8154000</v>
      </c>
    </row>
    <row r="164" spans="10:23">
      <c r="J164" s="254">
        <v>2019</v>
      </c>
      <c r="K164" s="254">
        <v>3410</v>
      </c>
      <c r="L164" s="255" t="s">
        <v>253</v>
      </c>
      <c r="M164" s="254">
        <v>410</v>
      </c>
      <c r="N164" s="254">
        <v>405</v>
      </c>
      <c r="O164" s="367" t="s">
        <v>516</v>
      </c>
      <c r="P164" s="367" t="s">
        <v>520</v>
      </c>
      <c r="Q164" s="265">
        <v>17000</v>
      </c>
      <c r="R164" s="265">
        <v>0</v>
      </c>
      <c r="S164" s="265">
        <v>0</v>
      </c>
      <c r="T164" s="265">
        <v>0</v>
      </c>
      <c r="U164" s="265">
        <v>17000</v>
      </c>
      <c r="V164" s="265">
        <v>0</v>
      </c>
      <c r="W164" s="265">
        <v>17000</v>
      </c>
    </row>
    <row r="165" spans="10:23">
      <c r="J165" s="254">
        <v>2019</v>
      </c>
      <c r="K165" s="254">
        <v>3410</v>
      </c>
      <c r="L165" s="255" t="s">
        <v>253</v>
      </c>
      <c r="M165" s="254">
        <v>410</v>
      </c>
      <c r="N165" s="254">
        <v>406</v>
      </c>
      <c r="O165" s="367" t="s">
        <v>516</v>
      </c>
      <c r="P165" s="367" t="s">
        <v>521</v>
      </c>
      <c r="Q165" s="265">
        <v>0</v>
      </c>
      <c r="R165" s="265">
        <v>0</v>
      </c>
      <c r="S165" s="265">
        <v>0</v>
      </c>
      <c r="T165" s="265">
        <v>0</v>
      </c>
      <c r="U165" s="265">
        <v>0</v>
      </c>
      <c r="V165" s="265">
        <v>0</v>
      </c>
      <c r="W165" s="265">
        <v>0</v>
      </c>
    </row>
    <row r="166" spans="10:23">
      <c r="J166" s="254">
        <v>2019</v>
      </c>
      <c r="K166" s="254">
        <v>3410</v>
      </c>
      <c r="L166" s="255" t="s">
        <v>253</v>
      </c>
      <c r="M166" s="254">
        <v>410</v>
      </c>
      <c r="N166" s="254">
        <v>407</v>
      </c>
      <c r="O166" s="367" t="s">
        <v>516</v>
      </c>
      <c r="P166" s="367" t="s">
        <v>522</v>
      </c>
      <c r="Q166" s="265">
        <v>0</v>
      </c>
      <c r="R166" s="265">
        <v>0</v>
      </c>
      <c r="S166" s="265">
        <v>0</v>
      </c>
      <c r="T166" s="265">
        <v>0</v>
      </c>
      <c r="U166" s="265">
        <v>0</v>
      </c>
      <c r="V166" s="265">
        <v>0</v>
      </c>
      <c r="W166" s="265">
        <v>0</v>
      </c>
    </row>
    <row r="167" spans="10:23">
      <c r="J167" s="254">
        <v>2019</v>
      </c>
      <c r="K167" s="254">
        <v>3410</v>
      </c>
      <c r="L167" s="255" t="s">
        <v>253</v>
      </c>
      <c r="M167" s="254">
        <v>410</v>
      </c>
      <c r="N167" s="254">
        <v>408</v>
      </c>
      <c r="O167" s="367" t="s">
        <v>516</v>
      </c>
      <c r="P167" s="367" t="s">
        <v>523</v>
      </c>
      <c r="Q167" s="265">
        <v>4257000</v>
      </c>
      <c r="R167" s="265">
        <v>146000</v>
      </c>
      <c r="S167" s="265">
        <v>0</v>
      </c>
      <c r="T167" s="265">
        <v>0</v>
      </c>
      <c r="U167" s="265">
        <v>4403000</v>
      </c>
      <c r="V167" s="265">
        <v>0</v>
      </c>
      <c r="W167" s="265">
        <v>4403000</v>
      </c>
    </row>
    <row r="168" spans="10:23">
      <c r="J168" s="254">
        <v>2019</v>
      </c>
      <c r="K168" s="254">
        <v>3410</v>
      </c>
      <c r="L168" s="255" t="s">
        <v>253</v>
      </c>
      <c r="M168" s="254">
        <v>410</v>
      </c>
      <c r="N168" s="254">
        <v>409</v>
      </c>
      <c r="O168" s="367" t="s">
        <v>516</v>
      </c>
      <c r="P168" s="367" t="s">
        <v>524</v>
      </c>
      <c r="Q168" s="265">
        <v>0</v>
      </c>
      <c r="R168" s="265">
        <v>127209000</v>
      </c>
      <c r="S168" s="265">
        <v>0</v>
      </c>
      <c r="T168" s="265">
        <v>0</v>
      </c>
      <c r="U168" s="265">
        <v>127209000</v>
      </c>
      <c r="V168" s="265">
        <v>0</v>
      </c>
      <c r="W168" s="265">
        <v>127209000</v>
      </c>
    </row>
    <row r="169" spans="10:23">
      <c r="J169" s="254">
        <v>2019</v>
      </c>
      <c r="K169" s="254">
        <v>3410</v>
      </c>
      <c r="L169" s="255" t="s">
        <v>253</v>
      </c>
      <c r="M169" s="254">
        <v>410</v>
      </c>
      <c r="N169" s="254">
        <v>410</v>
      </c>
      <c r="O169" s="367" t="s">
        <v>516</v>
      </c>
      <c r="P169" s="367" t="s">
        <v>525</v>
      </c>
      <c r="Q169" s="265">
        <v>0</v>
      </c>
      <c r="R169" s="265">
        <v>0</v>
      </c>
      <c r="S169" s="265">
        <v>0</v>
      </c>
      <c r="T169" s="265">
        <v>0</v>
      </c>
      <c r="U169" s="265">
        <v>0</v>
      </c>
      <c r="V169" s="265">
        <v>0</v>
      </c>
      <c r="W169" s="265">
        <v>0</v>
      </c>
    </row>
    <row r="170" spans="10:23">
      <c r="J170" s="254">
        <v>2019</v>
      </c>
      <c r="K170" s="254">
        <v>3410</v>
      </c>
      <c r="L170" s="255" t="s">
        <v>253</v>
      </c>
      <c r="M170" s="254">
        <v>410</v>
      </c>
      <c r="N170" s="254">
        <v>411</v>
      </c>
      <c r="O170" s="367" t="s">
        <v>516</v>
      </c>
      <c r="P170" s="367" t="s">
        <v>526</v>
      </c>
      <c r="Q170" s="265">
        <v>2129000</v>
      </c>
      <c r="R170" s="265">
        <v>32000</v>
      </c>
      <c r="S170" s="265">
        <v>0</v>
      </c>
      <c r="T170" s="265">
        <v>0</v>
      </c>
      <c r="U170" s="265">
        <v>2161000</v>
      </c>
      <c r="V170" s="265">
        <v>0</v>
      </c>
      <c r="W170" s="265">
        <v>2161000</v>
      </c>
    </row>
    <row r="171" spans="10:23">
      <c r="J171" s="254">
        <v>2019</v>
      </c>
      <c r="K171" s="254">
        <v>3410</v>
      </c>
      <c r="L171" s="255" t="s">
        <v>253</v>
      </c>
      <c r="M171" s="254">
        <v>410</v>
      </c>
      <c r="N171" s="254">
        <v>412</v>
      </c>
      <c r="O171" s="367" t="s">
        <v>516</v>
      </c>
      <c r="P171" s="367" t="s">
        <v>527</v>
      </c>
      <c r="Q171" s="265">
        <v>0</v>
      </c>
      <c r="R171" s="265">
        <v>0</v>
      </c>
      <c r="S171" s="265">
        <v>0</v>
      </c>
      <c r="T171" s="265">
        <v>1318000</v>
      </c>
      <c r="U171" s="265">
        <v>1318000</v>
      </c>
      <c r="V171" s="265">
        <v>0</v>
      </c>
      <c r="W171" s="265">
        <v>1318000</v>
      </c>
    </row>
    <row r="172" spans="10:23">
      <c r="J172" s="254">
        <v>2019</v>
      </c>
      <c r="K172" s="254">
        <v>3410</v>
      </c>
      <c r="L172" s="255" t="s">
        <v>253</v>
      </c>
      <c r="M172" s="254">
        <v>410</v>
      </c>
      <c r="N172" s="254">
        <v>413</v>
      </c>
      <c r="O172" s="367" t="s">
        <v>516</v>
      </c>
      <c r="P172" s="367" t="s">
        <v>528</v>
      </c>
      <c r="Q172" s="265">
        <v>0</v>
      </c>
      <c r="R172" s="265">
        <v>0</v>
      </c>
      <c r="S172" s="265">
        <v>0</v>
      </c>
      <c r="T172" s="265">
        <v>55000</v>
      </c>
      <c r="U172" s="265">
        <v>55000</v>
      </c>
      <c r="V172" s="265">
        <v>0</v>
      </c>
      <c r="W172" s="265">
        <v>55000</v>
      </c>
    </row>
    <row r="173" spans="10:23">
      <c r="J173" s="254">
        <v>2019</v>
      </c>
      <c r="K173" s="254">
        <v>3410</v>
      </c>
      <c r="L173" s="255" t="s">
        <v>253</v>
      </c>
      <c r="M173" s="254">
        <v>410</v>
      </c>
      <c r="N173" s="254">
        <v>414</v>
      </c>
      <c r="O173" s="367" t="s">
        <v>516</v>
      </c>
      <c r="P173" s="367" t="s">
        <v>200</v>
      </c>
      <c r="Q173" s="265">
        <v>0</v>
      </c>
      <c r="R173" s="265">
        <v>0</v>
      </c>
      <c r="S173" s="265">
        <v>0</v>
      </c>
      <c r="T173" s="265">
        <v>44486000</v>
      </c>
      <c r="U173" s="265">
        <v>44486000</v>
      </c>
      <c r="V173" s="265">
        <v>0</v>
      </c>
      <c r="W173" s="265">
        <v>44486000</v>
      </c>
    </row>
    <row r="174" spans="10:23">
      <c r="J174" s="254">
        <v>2019</v>
      </c>
      <c r="K174" s="254">
        <v>3410</v>
      </c>
      <c r="L174" s="255" t="s">
        <v>253</v>
      </c>
      <c r="M174" s="254">
        <v>410</v>
      </c>
      <c r="N174" s="254">
        <v>415</v>
      </c>
      <c r="O174" s="367" t="s">
        <v>516</v>
      </c>
      <c r="P174" s="367" t="s">
        <v>201</v>
      </c>
      <c r="Q174" s="265">
        <v>0</v>
      </c>
      <c r="R174" s="265">
        <v>0</v>
      </c>
      <c r="S174" s="265">
        <v>0</v>
      </c>
      <c r="T174" s="265">
        <v>12452000</v>
      </c>
      <c r="U174" s="265">
        <v>12452000</v>
      </c>
      <c r="V174" s="265">
        <v>0</v>
      </c>
      <c r="W174" s="265">
        <v>12452000</v>
      </c>
    </row>
    <row r="175" spans="10:23">
      <c r="J175" s="254">
        <v>2019</v>
      </c>
      <c r="K175" s="254">
        <v>3410</v>
      </c>
      <c r="L175" s="255" t="s">
        <v>253</v>
      </c>
      <c r="M175" s="254">
        <v>410</v>
      </c>
      <c r="N175" s="254">
        <v>416</v>
      </c>
      <c r="O175" s="367" t="s">
        <v>516</v>
      </c>
      <c r="P175" s="367" t="s">
        <v>529</v>
      </c>
      <c r="Q175" s="265">
        <v>0</v>
      </c>
      <c r="R175" s="265">
        <v>0</v>
      </c>
      <c r="S175" s="265">
        <v>33626000</v>
      </c>
      <c r="T175" s="265">
        <v>0</v>
      </c>
      <c r="U175" s="265">
        <v>33626000</v>
      </c>
      <c r="V175" s="265">
        <v>0</v>
      </c>
      <c r="W175" s="265">
        <v>33626000</v>
      </c>
    </row>
    <row r="176" spans="10:23">
      <c r="J176" s="254">
        <v>2019</v>
      </c>
      <c r="K176" s="254">
        <v>3410</v>
      </c>
      <c r="L176" s="255" t="s">
        <v>253</v>
      </c>
      <c r="M176" s="254">
        <v>410</v>
      </c>
      <c r="N176" s="254">
        <v>417</v>
      </c>
      <c r="O176" s="367" t="s">
        <v>516</v>
      </c>
      <c r="P176" s="367" t="s">
        <v>153</v>
      </c>
      <c r="Q176" s="265">
        <v>0</v>
      </c>
      <c r="R176" s="265">
        <v>0</v>
      </c>
      <c r="S176" s="265">
        <v>-936000</v>
      </c>
      <c r="T176" s="265">
        <v>0</v>
      </c>
      <c r="U176" s="265">
        <v>-936000</v>
      </c>
      <c r="V176" s="265">
        <v>0</v>
      </c>
      <c r="W176" s="265">
        <v>-936000</v>
      </c>
    </row>
    <row r="177" spans="10:23">
      <c r="J177" s="254">
        <v>2019</v>
      </c>
      <c r="K177" s="254">
        <v>3410</v>
      </c>
      <c r="L177" s="255" t="s">
        <v>253</v>
      </c>
      <c r="M177" s="254">
        <v>410</v>
      </c>
      <c r="N177" s="254">
        <v>418</v>
      </c>
      <c r="O177" s="367" t="s">
        <v>516</v>
      </c>
      <c r="P177" s="367" t="s">
        <v>158</v>
      </c>
      <c r="Q177" s="265">
        <v>0</v>
      </c>
      <c r="R177" s="265">
        <v>477000</v>
      </c>
      <c r="S177" s="265">
        <v>5557000</v>
      </c>
      <c r="T177" s="265">
        <v>310000</v>
      </c>
      <c r="U177" s="265">
        <v>6344000</v>
      </c>
      <c r="V177" s="265">
        <v>0</v>
      </c>
      <c r="W177" s="265">
        <v>6344000</v>
      </c>
    </row>
    <row r="178" spans="10:23">
      <c r="J178" s="254">
        <v>2019</v>
      </c>
      <c r="K178" s="254">
        <v>3410</v>
      </c>
      <c r="L178" s="255" t="s">
        <v>253</v>
      </c>
      <c r="M178" s="254">
        <v>410</v>
      </c>
      <c r="N178" s="254">
        <v>419</v>
      </c>
      <c r="O178" s="367" t="s">
        <v>516</v>
      </c>
      <c r="P178" s="367" t="s">
        <v>530</v>
      </c>
      <c r="Q178" s="265">
        <v>128798000</v>
      </c>
      <c r="R178" s="265">
        <v>129280000</v>
      </c>
      <c r="S178" s="265">
        <v>41493000</v>
      </c>
      <c r="T178" s="265">
        <v>76530000</v>
      </c>
      <c r="U178" s="265">
        <v>376101000</v>
      </c>
      <c r="V178" s="265">
        <v>0</v>
      </c>
      <c r="W178" s="265">
        <v>376101000</v>
      </c>
    </row>
    <row r="179" spans="10:23">
      <c r="J179" s="254">
        <v>2019</v>
      </c>
      <c r="K179" s="254">
        <v>3410</v>
      </c>
      <c r="L179" s="255" t="s">
        <v>253</v>
      </c>
      <c r="M179" s="254">
        <v>410</v>
      </c>
      <c r="N179" s="254">
        <v>420</v>
      </c>
      <c r="O179" s="367" t="s">
        <v>531</v>
      </c>
      <c r="P179" s="367" t="s">
        <v>203</v>
      </c>
      <c r="Q179" s="265">
        <v>635000</v>
      </c>
      <c r="R179" s="265">
        <v>9000</v>
      </c>
      <c r="S179" s="265">
        <v>27000</v>
      </c>
      <c r="T179" s="265">
        <v>1000</v>
      </c>
      <c r="U179" s="265">
        <v>672000</v>
      </c>
      <c r="V179" s="265">
        <v>0</v>
      </c>
      <c r="W179" s="265">
        <v>672000</v>
      </c>
    </row>
    <row r="180" spans="10:23">
      <c r="J180" s="254">
        <v>2019</v>
      </c>
      <c r="K180" s="254">
        <v>3410</v>
      </c>
      <c r="L180" s="255" t="s">
        <v>253</v>
      </c>
      <c r="M180" s="254">
        <v>410</v>
      </c>
      <c r="N180" s="254">
        <v>421</v>
      </c>
      <c r="O180" s="367" t="s">
        <v>531</v>
      </c>
      <c r="P180" s="367" t="s">
        <v>532</v>
      </c>
      <c r="Q180" s="265">
        <v>15910000</v>
      </c>
      <c r="R180" s="265">
        <v>3000</v>
      </c>
      <c r="S180" s="265">
        <v>0</v>
      </c>
      <c r="T180" s="265">
        <v>21000</v>
      </c>
      <c r="U180" s="265">
        <v>15934000</v>
      </c>
      <c r="V180" s="265">
        <v>0</v>
      </c>
      <c r="W180" s="265">
        <v>15934000</v>
      </c>
    </row>
    <row r="181" spans="10:23">
      <c r="J181" s="254">
        <v>2019</v>
      </c>
      <c r="K181" s="254">
        <v>3410</v>
      </c>
      <c r="L181" s="255" t="s">
        <v>253</v>
      </c>
      <c r="M181" s="254">
        <v>410</v>
      </c>
      <c r="N181" s="254">
        <v>422</v>
      </c>
      <c r="O181" s="367" t="s">
        <v>531</v>
      </c>
      <c r="P181" s="367" t="s">
        <v>533</v>
      </c>
      <c r="Q181" s="265">
        <v>2212000</v>
      </c>
      <c r="R181" s="265">
        <v>0</v>
      </c>
      <c r="S181" s="265">
        <v>0</v>
      </c>
      <c r="T181" s="265">
        <v>0</v>
      </c>
      <c r="U181" s="265">
        <v>2212000</v>
      </c>
      <c r="V181" s="265">
        <v>0</v>
      </c>
      <c r="W181" s="265">
        <v>2212000</v>
      </c>
    </row>
    <row r="182" spans="10:23">
      <c r="J182" s="254">
        <v>2019</v>
      </c>
      <c r="K182" s="254">
        <v>3410</v>
      </c>
      <c r="L182" s="255" t="s">
        <v>253</v>
      </c>
      <c r="M182" s="254">
        <v>410</v>
      </c>
      <c r="N182" s="254">
        <v>423</v>
      </c>
      <c r="O182" s="367" t="s">
        <v>531</v>
      </c>
      <c r="P182" s="367" t="s">
        <v>534</v>
      </c>
      <c r="Q182" s="265">
        <v>165000</v>
      </c>
      <c r="R182" s="265">
        <v>0</v>
      </c>
      <c r="S182" s="265">
        <v>0</v>
      </c>
      <c r="T182" s="265">
        <v>0</v>
      </c>
      <c r="U182" s="265">
        <v>165000</v>
      </c>
      <c r="V182" s="265">
        <v>0</v>
      </c>
      <c r="W182" s="265">
        <v>165000</v>
      </c>
    </row>
    <row r="183" spans="10:23">
      <c r="J183" s="254">
        <v>2019</v>
      </c>
      <c r="K183" s="254">
        <v>3410</v>
      </c>
      <c r="L183" s="255" t="s">
        <v>253</v>
      </c>
      <c r="M183" s="254">
        <v>410</v>
      </c>
      <c r="N183" s="254">
        <v>424</v>
      </c>
      <c r="O183" s="367" t="s">
        <v>531</v>
      </c>
      <c r="P183" s="367" t="s">
        <v>535</v>
      </c>
      <c r="Q183" s="265">
        <v>0</v>
      </c>
      <c r="R183" s="265">
        <v>0</v>
      </c>
      <c r="S183" s="265">
        <v>0</v>
      </c>
      <c r="T183" s="265">
        <v>0</v>
      </c>
      <c r="U183" s="265">
        <v>0</v>
      </c>
      <c r="V183" s="265">
        <v>0</v>
      </c>
      <c r="W183" s="265">
        <v>0</v>
      </c>
    </row>
    <row r="184" spans="10:23">
      <c r="J184" s="254">
        <v>2019</v>
      </c>
      <c r="K184" s="254">
        <v>3410</v>
      </c>
      <c r="L184" s="255" t="s">
        <v>253</v>
      </c>
      <c r="M184" s="254">
        <v>410</v>
      </c>
      <c r="N184" s="254">
        <v>425</v>
      </c>
      <c r="O184" s="367" t="s">
        <v>531</v>
      </c>
      <c r="P184" s="367" t="s">
        <v>524</v>
      </c>
      <c r="Q184" s="265">
        <v>0</v>
      </c>
      <c r="R184" s="265">
        <v>6579000</v>
      </c>
      <c r="S184" s="265">
        <v>0</v>
      </c>
      <c r="T184" s="265">
        <v>0</v>
      </c>
      <c r="U184" s="265">
        <v>6579000</v>
      </c>
      <c r="V184" s="265">
        <v>0</v>
      </c>
      <c r="W184" s="265">
        <v>6579000</v>
      </c>
    </row>
    <row r="185" spans="10:23">
      <c r="J185" s="254">
        <v>2019</v>
      </c>
      <c r="K185" s="254">
        <v>3410</v>
      </c>
      <c r="L185" s="255" t="s">
        <v>253</v>
      </c>
      <c r="M185" s="254">
        <v>410</v>
      </c>
      <c r="N185" s="254">
        <v>426</v>
      </c>
      <c r="O185" s="367" t="s">
        <v>531</v>
      </c>
      <c r="P185" s="367" t="s">
        <v>525</v>
      </c>
      <c r="Q185" s="265">
        <v>0</v>
      </c>
      <c r="R185" s="265">
        <v>0</v>
      </c>
      <c r="S185" s="265">
        <v>0</v>
      </c>
      <c r="T185" s="265">
        <v>0</v>
      </c>
      <c r="U185" s="265">
        <v>0</v>
      </c>
      <c r="V185" s="265">
        <v>0</v>
      </c>
      <c r="W185" s="265">
        <v>0</v>
      </c>
    </row>
    <row r="186" spans="10:23">
      <c r="J186" s="254">
        <v>2019</v>
      </c>
      <c r="K186" s="254">
        <v>3410</v>
      </c>
      <c r="L186" s="255" t="s">
        <v>253</v>
      </c>
      <c r="M186" s="254">
        <v>410</v>
      </c>
      <c r="N186" s="254">
        <v>427</v>
      </c>
      <c r="O186" s="367" t="s">
        <v>531</v>
      </c>
      <c r="P186" s="367" t="s">
        <v>526</v>
      </c>
      <c r="Q186" s="265">
        <v>0</v>
      </c>
      <c r="R186" s="265">
        <v>0</v>
      </c>
      <c r="S186" s="265">
        <v>0</v>
      </c>
      <c r="T186" s="265">
        <v>0</v>
      </c>
      <c r="U186" s="265">
        <v>0</v>
      </c>
      <c r="V186" s="265">
        <v>0</v>
      </c>
      <c r="W186" s="265">
        <v>0</v>
      </c>
    </row>
    <row r="187" spans="10:23">
      <c r="J187" s="254">
        <v>2019</v>
      </c>
      <c r="K187" s="254">
        <v>3410</v>
      </c>
      <c r="L187" s="255" t="s">
        <v>253</v>
      </c>
      <c r="M187" s="254">
        <v>410</v>
      </c>
      <c r="N187" s="254">
        <v>428</v>
      </c>
      <c r="O187" s="367" t="s">
        <v>531</v>
      </c>
      <c r="P187" s="367" t="s">
        <v>536</v>
      </c>
      <c r="Q187" s="265">
        <v>0</v>
      </c>
      <c r="R187" s="265">
        <v>0</v>
      </c>
      <c r="S187" s="265">
        <v>0</v>
      </c>
      <c r="T187" s="265">
        <v>0</v>
      </c>
      <c r="U187" s="265">
        <v>0</v>
      </c>
      <c r="V187" s="265">
        <v>0</v>
      </c>
      <c r="W187" s="265">
        <v>0</v>
      </c>
    </row>
    <row r="188" spans="10:23">
      <c r="J188" s="254">
        <v>2019</v>
      </c>
      <c r="K188" s="254">
        <v>3410</v>
      </c>
      <c r="L188" s="255" t="s">
        <v>253</v>
      </c>
      <c r="M188" s="254">
        <v>410</v>
      </c>
      <c r="N188" s="254">
        <v>429</v>
      </c>
      <c r="O188" s="367" t="s">
        <v>531</v>
      </c>
      <c r="P188" s="367" t="s">
        <v>528</v>
      </c>
      <c r="Q188" s="265">
        <v>0</v>
      </c>
      <c r="R188" s="265">
        <v>0</v>
      </c>
      <c r="S188" s="265">
        <v>1108000</v>
      </c>
      <c r="T188" s="265">
        <v>0</v>
      </c>
      <c r="U188" s="265">
        <v>1108000</v>
      </c>
      <c r="V188" s="265">
        <v>0</v>
      </c>
      <c r="W188" s="265">
        <v>1108000</v>
      </c>
    </row>
    <row r="189" spans="10:23">
      <c r="J189" s="254">
        <v>2019</v>
      </c>
      <c r="K189" s="254">
        <v>3410</v>
      </c>
      <c r="L189" s="255" t="s">
        <v>253</v>
      </c>
      <c r="M189" s="254">
        <v>410</v>
      </c>
      <c r="N189" s="254">
        <v>430</v>
      </c>
      <c r="O189" s="367" t="s">
        <v>531</v>
      </c>
      <c r="P189" s="367" t="s">
        <v>200</v>
      </c>
      <c r="Q189" s="265">
        <v>0</v>
      </c>
      <c r="R189" s="265">
        <v>0</v>
      </c>
      <c r="S189" s="265">
        <v>0</v>
      </c>
      <c r="T189" s="265">
        <v>6536000</v>
      </c>
      <c r="U189" s="265">
        <v>6536000</v>
      </c>
      <c r="V189" s="265">
        <v>0</v>
      </c>
      <c r="W189" s="265">
        <v>6536000</v>
      </c>
    </row>
    <row r="190" spans="10:23">
      <c r="J190" s="254">
        <v>2019</v>
      </c>
      <c r="K190" s="254">
        <v>3410</v>
      </c>
      <c r="L190" s="255" t="s">
        <v>253</v>
      </c>
      <c r="M190" s="254">
        <v>410</v>
      </c>
      <c r="N190" s="254">
        <v>431</v>
      </c>
      <c r="O190" s="367" t="s">
        <v>531</v>
      </c>
      <c r="P190" s="367" t="s">
        <v>201</v>
      </c>
      <c r="Q190" s="265">
        <v>0</v>
      </c>
      <c r="R190" s="265">
        <v>0</v>
      </c>
      <c r="S190" s="265">
        <v>0</v>
      </c>
      <c r="T190" s="265">
        <v>1036000</v>
      </c>
      <c r="U190" s="265">
        <v>1036000</v>
      </c>
      <c r="V190" s="265">
        <v>0</v>
      </c>
      <c r="W190" s="265">
        <v>1036000</v>
      </c>
    </row>
    <row r="191" spans="10:23">
      <c r="J191" s="254">
        <v>2019</v>
      </c>
      <c r="K191" s="254">
        <v>3410</v>
      </c>
      <c r="L191" s="255" t="s">
        <v>253</v>
      </c>
      <c r="M191" s="254">
        <v>410</v>
      </c>
      <c r="N191" s="254">
        <v>432</v>
      </c>
      <c r="O191" s="367" t="s">
        <v>531</v>
      </c>
      <c r="P191" s="367" t="s">
        <v>152</v>
      </c>
      <c r="Q191" s="265">
        <v>0</v>
      </c>
      <c r="R191" s="265">
        <v>0</v>
      </c>
      <c r="S191" s="265">
        <v>1557000</v>
      </c>
      <c r="T191" s="265">
        <v>0</v>
      </c>
      <c r="U191" s="265">
        <v>1557000</v>
      </c>
      <c r="V191" s="265">
        <v>0</v>
      </c>
      <c r="W191" s="265">
        <v>1557000</v>
      </c>
    </row>
    <row r="192" spans="10:23">
      <c r="J192" s="254">
        <v>2019</v>
      </c>
      <c r="K192" s="254">
        <v>3410</v>
      </c>
      <c r="L192" s="255" t="s">
        <v>253</v>
      </c>
      <c r="M192" s="254">
        <v>410</v>
      </c>
      <c r="N192" s="254">
        <v>433</v>
      </c>
      <c r="O192" s="367" t="s">
        <v>531</v>
      </c>
      <c r="P192" s="367" t="s">
        <v>153</v>
      </c>
      <c r="Q192" s="265">
        <v>0</v>
      </c>
      <c r="R192" s="265">
        <v>0</v>
      </c>
      <c r="S192" s="265">
        <v>-2726000</v>
      </c>
      <c r="T192" s="265">
        <v>0</v>
      </c>
      <c r="U192" s="265">
        <v>-2726000</v>
      </c>
      <c r="V192" s="265">
        <v>0</v>
      </c>
      <c r="W192" s="265">
        <v>-2726000</v>
      </c>
    </row>
    <row r="193" spans="10:23">
      <c r="J193" s="254">
        <v>2019</v>
      </c>
      <c r="K193" s="254">
        <v>3410</v>
      </c>
      <c r="L193" s="255" t="s">
        <v>253</v>
      </c>
      <c r="M193" s="254">
        <v>410</v>
      </c>
      <c r="N193" s="254">
        <v>434</v>
      </c>
      <c r="O193" s="367" t="s">
        <v>531</v>
      </c>
      <c r="P193" s="367" t="s">
        <v>158</v>
      </c>
      <c r="Q193" s="265">
        <v>0</v>
      </c>
      <c r="R193" s="265">
        <v>0</v>
      </c>
      <c r="S193" s="265">
        <v>0</v>
      </c>
      <c r="T193" s="265">
        <v>0</v>
      </c>
      <c r="U193" s="265">
        <v>0</v>
      </c>
      <c r="V193" s="265">
        <v>0</v>
      </c>
      <c r="W193" s="265">
        <v>0</v>
      </c>
    </row>
    <row r="194" spans="10:23">
      <c r="J194" s="254">
        <v>2019</v>
      </c>
      <c r="K194" s="254">
        <v>3410</v>
      </c>
      <c r="L194" s="255" t="s">
        <v>253</v>
      </c>
      <c r="M194" s="254">
        <v>410</v>
      </c>
      <c r="N194" s="254">
        <v>435</v>
      </c>
      <c r="O194" s="367" t="s">
        <v>531</v>
      </c>
      <c r="P194" s="367" t="s">
        <v>537</v>
      </c>
      <c r="Q194" s="265">
        <v>18922000</v>
      </c>
      <c r="R194" s="265">
        <v>6591000</v>
      </c>
      <c r="S194" s="265">
        <v>-34000</v>
      </c>
      <c r="T194" s="265">
        <v>7594000</v>
      </c>
      <c r="U194" s="265">
        <v>33073000</v>
      </c>
      <c r="V194" s="265">
        <v>0</v>
      </c>
      <c r="W194" s="265">
        <v>33073000</v>
      </c>
    </row>
    <row r="195" spans="10:23">
      <c r="J195" s="254">
        <v>2019</v>
      </c>
      <c r="K195" s="254">
        <v>3680</v>
      </c>
      <c r="L195" s="255" t="s">
        <v>252</v>
      </c>
      <c r="M195" s="254">
        <v>410</v>
      </c>
      <c r="N195" s="254">
        <v>401</v>
      </c>
      <c r="O195" s="367" t="s">
        <v>516</v>
      </c>
      <c r="P195" s="367" t="s">
        <v>203</v>
      </c>
      <c r="Q195" s="265">
        <v>20655000</v>
      </c>
      <c r="R195" s="265">
        <v>647000</v>
      </c>
      <c r="S195" s="265">
        <v>4737000</v>
      </c>
      <c r="T195" s="265">
        <v>879000</v>
      </c>
      <c r="U195" s="265">
        <v>26918000</v>
      </c>
      <c r="V195" s="265">
        <v>0</v>
      </c>
      <c r="W195" s="265">
        <v>26918000</v>
      </c>
    </row>
    <row r="196" spans="10:23">
      <c r="J196" s="254">
        <v>2019</v>
      </c>
      <c r="K196" s="254">
        <v>3680</v>
      </c>
      <c r="L196" s="255" t="s">
        <v>252</v>
      </c>
      <c r="M196" s="254">
        <v>410</v>
      </c>
      <c r="N196" s="254">
        <v>402</v>
      </c>
      <c r="O196" s="367" t="s">
        <v>516</v>
      </c>
      <c r="P196" s="367" t="s">
        <v>517</v>
      </c>
      <c r="Q196" s="265">
        <v>58917000</v>
      </c>
      <c r="R196" s="265">
        <v>380000</v>
      </c>
      <c r="S196" s="265">
        <v>7174000</v>
      </c>
      <c r="T196" s="265">
        <v>303000</v>
      </c>
      <c r="U196" s="265">
        <v>66774000</v>
      </c>
      <c r="V196" s="265">
        <v>0</v>
      </c>
      <c r="W196" s="265">
        <v>66774000</v>
      </c>
    </row>
    <row r="197" spans="10:23">
      <c r="J197" s="254">
        <v>2019</v>
      </c>
      <c r="K197" s="254">
        <v>3680</v>
      </c>
      <c r="L197" s="255" t="s">
        <v>252</v>
      </c>
      <c r="M197" s="254">
        <v>410</v>
      </c>
      <c r="N197" s="254">
        <v>403</v>
      </c>
      <c r="O197" s="367" t="s">
        <v>516</v>
      </c>
      <c r="P197" s="367" t="s">
        <v>518</v>
      </c>
      <c r="Q197" s="265">
        <v>47596000</v>
      </c>
      <c r="R197" s="265">
        <v>390000</v>
      </c>
      <c r="S197" s="265">
        <v>6376000</v>
      </c>
      <c r="T197" s="265">
        <v>303000</v>
      </c>
      <c r="U197" s="265">
        <v>54665000</v>
      </c>
      <c r="V197" s="265">
        <v>0</v>
      </c>
      <c r="W197" s="265">
        <v>54665000</v>
      </c>
    </row>
    <row r="198" spans="10:23">
      <c r="J198" s="254">
        <v>2019</v>
      </c>
      <c r="K198" s="254">
        <v>3680</v>
      </c>
      <c r="L198" s="255" t="s">
        <v>252</v>
      </c>
      <c r="M198" s="254">
        <v>410</v>
      </c>
      <c r="N198" s="254">
        <v>404</v>
      </c>
      <c r="O198" s="367" t="s">
        <v>516</v>
      </c>
      <c r="P198" s="367" t="s">
        <v>519</v>
      </c>
      <c r="Q198" s="265">
        <v>8263000</v>
      </c>
      <c r="R198" s="265">
        <v>94000</v>
      </c>
      <c r="S198" s="265">
        <v>161000</v>
      </c>
      <c r="T198" s="265">
        <v>120000</v>
      </c>
      <c r="U198" s="265">
        <v>8638000</v>
      </c>
      <c r="V198" s="265">
        <v>0</v>
      </c>
      <c r="W198" s="265">
        <v>8638000</v>
      </c>
    </row>
    <row r="199" spans="10:23">
      <c r="J199" s="254">
        <v>2019</v>
      </c>
      <c r="K199" s="254">
        <v>3680</v>
      </c>
      <c r="L199" s="255" t="s">
        <v>252</v>
      </c>
      <c r="M199" s="254">
        <v>410</v>
      </c>
      <c r="N199" s="254">
        <v>405</v>
      </c>
      <c r="O199" s="367" t="s">
        <v>516</v>
      </c>
      <c r="P199" s="367" t="s">
        <v>520</v>
      </c>
      <c r="Q199" s="265">
        <v>0</v>
      </c>
      <c r="R199" s="265">
        <v>0</v>
      </c>
      <c r="S199" s="265">
        <v>1982000</v>
      </c>
      <c r="T199" s="265">
        <v>0</v>
      </c>
      <c r="U199" s="265">
        <v>1982000</v>
      </c>
      <c r="V199" s="265">
        <v>0</v>
      </c>
      <c r="W199" s="265">
        <v>1982000</v>
      </c>
    </row>
    <row r="200" spans="10:23">
      <c r="J200" s="254">
        <v>2019</v>
      </c>
      <c r="K200" s="254">
        <v>3680</v>
      </c>
      <c r="L200" s="255" t="s">
        <v>252</v>
      </c>
      <c r="M200" s="254">
        <v>410</v>
      </c>
      <c r="N200" s="254">
        <v>406</v>
      </c>
      <c r="O200" s="367" t="s">
        <v>516</v>
      </c>
      <c r="P200" s="367" t="s">
        <v>521</v>
      </c>
      <c r="Q200" s="265">
        <v>643000</v>
      </c>
      <c r="R200" s="265">
        <v>1000</v>
      </c>
      <c r="S200" s="265">
        <v>0</v>
      </c>
      <c r="T200" s="265">
        <v>0</v>
      </c>
      <c r="U200" s="265">
        <v>644000</v>
      </c>
      <c r="V200" s="265">
        <v>0</v>
      </c>
      <c r="W200" s="265">
        <v>644000</v>
      </c>
    </row>
    <row r="201" spans="10:23">
      <c r="J201" s="254">
        <v>2019</v>
      </c>
      <c r="K201" s="254">
        <v>3680</v>
      </c>
      <c r="L201" s="255" t="s">
        <v>252</v>
      </c>
      <c r="M201" s="254">
        <v>410</v>
      </c>
      <c r="N201" s="254">
        <v>407</v>
      </c>
      <c r="O201" s="367" t="s">
        <v>516</v>
      </c>
      <c r="P201" s="367" t="s">
        <v>522</v>
      </c>
      <c r="Q201" s="265">
        <v>-103000</v>
      </c>
      <c r="R201" s="265">
        <v>-10000</v>
      </c>
      <c r="S201" s="265">
        <v>2234000</v>
      </c>
      <c r="T201" s="265">
        <v>12000</v>
      </c>
      <c r="U201" s="265">
        <v>2133000</v>
      </c>
      <c r="V201" s="265">
        <v>0</v>
      </c>
      <c r="W201" s="265">
        <v>2133000</v>
      </c>
    </row>
    <row r="202" spans="10:23">
      <c r="J202" s="254">
        <v>2019</v>
      </c>
      <c r="K202" s="254">
        <v>3680</v>
      </c>
      <c r="L202" s="255" t="s">
        <v>252</v>
      </c>
      <c r="M202" s="254">
        <v>410</v>
      </c>
      <c r="N202" s="254">
        <v>408</v>
      </c>
      <c r="O202" s="367" t="s">
        <v>516</v>
      </c>
      <c r="P202" s="367" t="s">
        <v>523</v>
      </c>
      <c r="Q202" s="265">
        <v>5068000</v>
      </c>
      <c r="R202" s="265">
        <v>-3000</v>
      </c>
      <c r="S202" s="265">
        <v>504000</v>
      </c>
      <c r="T202" s="265">
        <v>59000</v>
      </c>
      <c r="U202" s="265">
        <v>5628000</v>
      </c>
      <c r="V202" s="265">
        <v>0</v>
      </c>
      <c r="W202" s="265">
        <v>5628000</v>
      </c>
    </row>
    <row r="203" spans="10:23">
      <c r="J203" s="254">
        <v>2019</v>
      </c>
      <c r="K203" s="254">
        <v>3680</v>
      </c>
      <c r="L203" s="255" t="s">
        <v>252</v>
      </c>
      <c r="M203" s="254">
        <v>410</v>
      </c>
      <c r="N203" s="254">
        <v>409</v>
      </c>
      <c r="O203" s="367" t="s">
        <v>516</v>
      </c>
      <c r="P203" s="367" t="s">
        <v>524</v>
      </c>
      <c r="Q203" s="265">
        <v>0</v>
      </c>
      <c r="R203" s="265">
        <v>138207000</v>
      </c>
      <c r="S203" s="265">
        <v>255000</v>
      </c>
      <c r="T203" s="265">
        <v>0</v>
      </c>
      <c r="U203" s="265">
        <v>138462000</v>
      </c>
      <c r="V203" s="265">
        <v>0</v>
      </c>
      <c r="W203" s="265">
        <v>138462000</v>
      </c>
    </row>
    <row r="204" spans="10:23">
      <c r="J204" s="254">
        <v>2019</v>
      </c>
      <c r="K204" s="254">
        <v>3680</v>
      </c>
      <c r="L204" s="255" t="s">
        <v>252</v>
      </c>
      <c r="M204" s="254">
        <v>410</v>
      </c>
      <c r="N204" s="254">
        <v>410</v>
      </c>
      <c r="O204" s="367" t="s">
        <v>516</v>
      </c>
      <c r="P204" s="367" t="s">
        <v>525</v>
      </c>
      <c r="Q204" s="265">
        <v>0</v>
      </c>
      <c r="R204" s="265">
        <v>0</v>
      </c>
      <c r="S204" s="265">
        <v>0</v>
      </c>
      <c r="T204" s="265">
        <v>0</v>
      </c>
      <c r="U204" s="265">
        <v>0</v>
      </c>
      <c r="V204" s="265">
        <v>0</v>
      </c>
      <c r="W204" s="265">
        <v>0</v>
      </c>
    </row>
    <row r="205" spans="10:23">
      <c r="J205" s="254">
        <v>2019</v>
      </c>
      <c r="K205" s="254">
        <v>3680</v>
      </c>
      <c r="L205" s="255" t="s">
        <v>252</v>
      </c>
      <c r="M205" s="254">
        <v>410</v>
      </c>
      <c r="N205" s="254">
        <v>411</v>
      </c>
      <c r="O205" s="367" t="s">
        <v>516</v>
      </c>
      <c r="P205" s="367" t="s">
        <v>526</v>
      </c>
      <c r="Q205" s="265">
        <v>3242000</v>
      </c>
      <c r="R205" s="265">
        <v>814000</v>
      </c>
      <c r="S205" s="265">
        <v>224000</v>
      </c>
      <c r="T205" s="265">
        <v>22000</v>
      </c>
      <c r="U205" s="265">
        <v>4302000</v>
      </c>
      <c r="V205" s="265">
        <v>0</v>
      </c>
      <c r="W205" s="265">
        <v>4302000</v>
      </c>
    </row>
    <row r="206" spans="10:23">
      <c r="J206" s="254">
        <v>2019</v>
      </c>
      <c r="K206" s="254">
        <v>3680</v>
      </c>
      <c r="L206" s="255" t="s">
        <v>252</v>
      </c>
      <c r="M206" s="254">
        <v>410</v>
      </c>
      <c r="N206" s="254">
        <v>412</v>
      </c>
      <c r="O206" s="367" t="s">
        <v>516</v>
      </c>
      <c r="P206" s="367" t="s">
        <v>527</v>
      </c>
      <c r="Q206" s="265">
        <v>0</v>
      </c>
      <c r="R206" s="265">
        <v>0</v>
      </c>
      <c r="S206" s="265">
        <v>0</v>
      </c>
      <c r="T206" s="265">
        <v>1898000</v>
      </c>
      <c r="U206" s="265">
        <v>1898000</v>
      </c>
      <c r="V206" s="265">
        <v>0</v>
      </c>
      <c r="W206" s="265">
        <v>1898000</v>
      </c>
    </row>
    <row r="207" spans="10:23">
      <c r="J207" s="254">
        <v>2019</v>
      </c>
      <c r="K207" s="254">
        <v>3680</v>
      </c>
      <c r="L207" s="255" t="s">
        <v>252</v>
      </c>
      <c r="M207" s="254">
        <v>410</v>
      </c>
      <c r="N207" s="254">
        <v>413</v>
      </c>
      <c r="O207" s="367" t="s">
        <v>516</v>
      </c>
      <c r="P207" s="367" t="s">
        <v>528</v>
      </c>
      <c r="Q207" s="265">
        <v>0</v>
      </c>
      <c r="R207" s="265">
        <v>0</v>
      </c>
      <c r="S207" s="265">
        <v>1847000</v>
      </c>
      <c r="T207" s="265">
        <v>0</v>
      </c>
      <c r="U207" s="265">
        <v>1847000</v>
      </c>
      <c r="V207" s="265">
        <v>0</v>
      </c>
      <c r="W207" s="265">
        <v>1847000</v>
      </c>
    </row>
    <row r="208" spans="10:23">
      <c r="J208" s="254">
        <v>2019</v>
      </c>
      <c r="K208" s="254">
        <v>3680</v>
      </c>
      <c r="L208" s="255" t="s">
        <v>252</v>
      </c>
      <c r="M208" s="254">
        <v>410</v>
      </c>
      <c r="N208" s="254">
        <v>414</v>
      </c>
      <c r="O208" s="367" t="s">
        <v>516</v>
      </c>
      <c r="P208" s="367" t="s">
        <v>200</v>
      </c>
      <c r="Q208" s="265">
        <v>0</v>
      </c>
      <c r="R208" s="265">
        <v>0</v>
      </c>
      <c r="S208" s="265">
        <v>0</v>
      </c>
      <c r="T208" s="265">
        <v>49108000</v>
      </c>
      <c r="U208" s="265">
        <v>49108000</v>
      </c>
      <c r="V208" s="265">
        <v>0</v>
      </c>
      <c r="W208" s="265">
        <v>49108000</v>
      </c>
    </row>
    <row r="209" spans="10:23">
      <c r="J209" s="254">
        <v>2019</v>
      </c>
      <c r="K209" s="254">
        <v>3680</v>
      </c>
      <c r="L209" s="255" t="s">
        <v>252</v>
      </c>
      <c r="M209" s="254">
        <v>410</v>
      </c>
      <c r="N209" s="254">
        <v>415</v>
      </c>
      <c r="O209" s="367" t="s">
        <v>516</v>
      </c>
      <c r="P209" s="367" t="s">
        <v>201</v>
      </c>
      <c r="Q209" s="265">
        <v>0</v>
      </c>
      <c r="R209" s="265">
        <v>0</v>
      </c>
      <c r="S209" s="265">
        <v>0</v>
      </c>
      <c r="T209" s="265">
        <v>25849000</v>
      </c>
      <c r="U209" s="265">
        <v>25849000</v>
      </c>
      <c r="V209" s="265">
        <v>0</v>
      </c>
      <c r="W209" s="265">
        <v>25849000</v>
      </c>
    </row>
    <row r="210" spans="10:23">
      <c r="J210" s="254">
        <v>2019</v>
      </c>
      <c r="K210" s="254">
        <v>3680</v>
      </c>
      <c r="L210" s="255" t="s">
        <v>252</v>
      </c>
      <c r="M210" s="254">
        <v>410</v>
      </c>
      <c r="N210" s="254">
        <v>416</v>
      </c>
      <c r="O210" s="367" t="s">
        <v>516</v>
      </c>
      <c r="P210" s="367" t="s">
        <v>529</v>
      </c>
      <c r="Q210" s="265">
        <v>0</v>
      </c>
      <c r="R210" s="265">
        <v>0</v>
      </c>
      <c r="S210" s="265">
        <v>6343000</v>
      </c>
      <c r="T210" s="265">
        <v>0</v>
      </c>
      <c r="U210" s="265">
        <v>6343000</v>
      </c>
      <c r="V210" s="265">
        <v>0</v>
      </c>
      <c r="W210" s="265">
        <v>6343000</v>
      </c>
    </row>
    <row r="211" spans="10:23">
      <c r="J211" s="254">
        <v>2019</v>
      </c>
      <c r="K211" s="254">
        <v>3680</v>
      </c>
      <c r="L211" s="255" t="s">
        <v>252</v>
      </c>
      <c r="M211" s="254">
        <v>410</v>
      </c>
      <c r="N211" s="254">
        <v>417</v>
      </c>
      <c r="O211" s="367" t="s">
        <v>516</v>
      </c>
      <c r="P211" s="367" t="s">
        <v>153</v>
      </c>
      <c r="Q211" s="265">
        <v>0</v>
      </c>
      <c r="R211" s="265">
        <v>0</v>
      </c>
      <c r="S211" s="265">
        <v>-2389000</v>
      </c>
      <c r="T211" s="265">
        <v>0</v>
      </c>
      <c r="U211" s="265">
        <v>-2389000</v>
      </c>
      <c r="V211" s="265">
        <v>0</v>
      </c>
      <c r="W211" s="265">
        <v>-2389000</v>
      </c>
    </row>
    <row r="212" spans="10:23">
      <c r="J212" s="254">
        <v>2019</v>
      </c>
      <c r="K212" s="254">
        <v>3680</v>
      </c>
      <c r="L212" s="255" t="s">
        <v>252</v>
      </c>
      <c r="M212" s="254">
        <v>410</v>
      </c>
      <c r="N212" s="254">
        <v>418</v>
      </c>
      <c r="O212" s="367" t="s">
        <v>516</v>
      </c>
      <c r="P212" s="367" t="s">
        <v>158</v>
      </c>
      <c r="Q212" s="265">
        <v>0</v>
      </c>
      <c r="R212" s="265">
        <v>0</v>
      </c>
      <c r="S212" s="265">
        <v>0</v>
      </c>
      <c r="T212" s="265">
        <v>0</v>
      </c>
      <c r="U212" s="265">
        <v>0</v>
      </c>
      <c r="V212" s="265">
        <v>0</v>
      </c>
      <c r="W212" s="265">
        <v>0</v>
      </c>
    </row>
    <row r="213" spans="10:23">
      <c r="J213" s="254">
        <v>2019</v>
      </c>
      <c r="K213" s="254">
        <v>3680</v>
      </c>
      <c r="L213" s="255" t="s">
        <v>252</v>
      </c>
      <c r="M213" s="254">
        <v>410</v>
      </c>
      <c r="N213" s="254">
        <v>419</v>
      </c>
      <c r="O213" s="367" t="s">
        <v>516</v>
      </c>
      <c r="P213" s="367" t="s">
        <v>530</v>
      </c>
      <c r="Q213" s="265">
        <v>144281000</v>
      </c>
      <c r="R213" s="265">
        <v>140520000</v>
      </c>
      <c r="S213" s="265">
        <v>29448000</v>
      </c>
      <c r="T213" s="265">
        <v>78553000</v>
      </c>
      <c r="U213" s="265">
        <v>392802000</v>
      </c>
      <c r="V213" s="265">
        <v>0</v>
      </c>
      <c r="W213" s="265">
        <v>392802000</v>
      </c>
    </row>
    <row r="214" spans="10:23">
      <c r="J214" s="254">
        <v>2019</v>
      </c>
      <c r="K214" s="254">
        <v>3680</v>
      </c>
      <c r="L214" s="255" t="s">
        <v>252</v>
      </c>
      <c r="M214" s="254">
        <v>410</v>
      </c>
      <c r="N214" s="254">
        <v>420</v>
      </c>
      <c r="O214" s="367" t="s">
        <v>531</v>
      </c>
      <c r="P214" s="367" t="s">
        <v>203</v>
      </c>
      <c r="Q214" s="265">
        <v>3824000</v>
      </c>
      <c r="R214" s="265">
        <v>10000</v>
      </c>
      <c r="S214" s="265">
        <v>524000</v>
      </c>
      <c r="T214" s="265">
        <v>50000</v>
      </c>
      <c r="U214" s="265">
        <v>4408000</v>
      </c>
      <c r="V214" s="265">
        <v>0</v>
      </c>
      <c r="W214" s="265">
        <v>4408000</v>
      </c>
    </row>
    <row r="215" spans="10:23">
      <c r="J215" s="254">
        <v>2019</v>
      </c>
      <c r="K215" s="254">
        <v>3680</v>
      </c>
      <c r="L215" s="255" t="s">
        <v>252</v>
      </c>
      <c r="M215" s="254">
        <v>410</v>
      </c>
      <c r="N215" s="254">
        <v>421</v>
      </c>
      <c r="O215" s="367" t="s">
        <v>531</v>
      </c>
      <c r="P215" s="367" t="s">
        <v>532</v>
      </c>
      <c r="Q215" s="265">
        <v>16622000</v>
      </c>
      <c r="R215" s="265">
        <v>321000</v>
      </c>
      <c r="S215" s="265">
        <v>2775000</v>
      </c>
      <c r="T215" s="265">
        <v>165000</v>
      </c>
      <c r="U215" s="265">
        <v>19883000</v>
      </c>
      <c r="V215" s="265">
        <v>0</v>
      </c>
      <c r="W215" s="265">
        <v>19883000</v>
      </c>
    </row>
    <row r="216" spans="10:23">
      <c r="J216" s="254">
        <v>2019</v>
      </c>
      <c r="K216" s="254">
        <v>3680</v>
      </c>
      <c r="L216" s="255" t="s">
        <v>252</v>
      </c>
      <c r="M216" s="254">
        <v>410</v>
      </c>
      <c r="N216" s="254">
        <v>422</v>
      </c>
      <c r="O216" s="367" t="s">
        <v>531</v>
      </c>
      <c r="P216" s="367" t="s">
        <v>533</v>
      </c>
      <c r="Q216" s="265">
        <v>2371000</v>
      </c>
      <c r="R216" s="265">
        <v>-1000</v>
      </c>
      <c r="S216" s="265">
        <v>83000</v>
      </c>
      <c r="T216" s="265">
        <v>0</v>
      </c>
      <c r="U216" s="265">
        <v>2453000</v>
      </c>
      <c r="V216" s="265">
        <v>0</v>
      </c>
      <c r="W216" s="265">
        <v>2453000</v>
      </c>
    </row>
    <row r="217" spans="10:23">
      <c r="J217" s="254">
        <v>2019</v>
      </c>
      <c r="K217" s="254">
        <v>3680</v>
      </c>
      <c r="L217" s="255" t="s">
        <v>252</v>
      </c>
      <c r="M217" s="254">
        <v>410</v>
      </c>
      <c r="N217" s="254">
        <v>423</v>
      </c>
      <c r="O217" s="367" t="s">
        <v>531</v>
      </c>
      <c r="P217" s="367" t="s">
        <v>534</v>
      </c>
      <c r="Q217" s="265">
        <v>1987000</v>
      </c>
      <c r="R217" s="265">
        <v>9000</v>
      </c>
      <c r="S217" s="265">
        <v>136000</v>
      </c>
      <c r="T217" s="265">
        <v>15000</v>
      </c>
      <c r="U217" s="265">
        <v>2147000</v>
      </c>
      <c r="V217" s="265">
        <v>0</v>
      </c>
      <c r="W217" s="265">
        <v>2147000</v>
      </c>
    </row>
    <row r="218" spans="10:23">
      <c r="J218" s="254">
        <v>2019</v>
      </c>
      <c r="K218" s="254">
        <v>3680</v>
      </c>
      <c r="L218" s="255" t="s">
        <v>252</v>
      </c>
      <c r="M218" s="254">
        <v>410</v>
      </c>
      <c r="N218" s="254">
        <v>424</v>
      </c>
      <c r="O218" s="367" t="s">
        <v>531</v>
      </c>
      <c r="P218" s="367" t="s">
        <v>535</v>
      </c>
      <c r="Q218" s="265">
        <v>0</v>
      </c>
      <c r="R218" s="265">
        <v>1000</v>
      </c>
      <c r="S218" s="265">
        <v>3082000</v>
      </c>
      <c r="T218" s="265">
        <v>0</v>
      </c>
      <c r="U218" s="265">
        <v>3083000</v>
      </c>
      <c r="V218" s="265">
        <v>0</v>
      </c>
      <c r="W218" s="265">
        <v>3083000</v>
      </c>
    </row>
    <row r="219" spans="10:23">
      <c r="J219" s="254">
        <v>2019</v>
      </c>
      <c r="K219" s="254">
        <v>3680</v>
      </c>
      <c r="L219" s="255" t="s">
        <v>252</v>
      </c>
      <c r="M219" s="254">
        <v>410</v>
      </c>
      <c r="N219" s="254">
        <v>425</v>
      </c>
      <c r="O219" s="367" t="s">
        <v>531</v>
      </c>
      <c r="P219" s="367" t="s">
        <v>524</v>
      </c>
      <c r="Q219" s="265">
        <v>0</v>
      </c>
      <c r="R219" s="265">
        <v>2848000</v>
      </c>
      <c r="S219" s="265">
        <v>0</v>
      </c>
      <c r="T219" s="265">
        <v>0</v>
      </c>
      <c r="U219" s="265">
        <v>2848000</v>
      </c>
      <c r="V219" s="265">
        <v>0</v>
      </c>
      <c r="W219" s="265">
        <v>2848000</v>
      </c>
    </row>
    <row r="220" spans="10:23">
      <c r="J220" s="254">
        <v>2019</v>
      </c>
      <c r="K220" s="254">
        <v>3680</v>
      </c>
      <c r="L220" s="255" t="s">
        <v>252</v>
      </c>
      <c r="M220" s="254">
        <v>410</v>
      </c>
      <c r="N220" s="254">
        <v>426</v>
      </c>
      <c r="O220" s="367" t="s">
        <v>531</v>
      </c>
      <c r="P220" s="367" t="s">
        <v>525</v>
      </c>
      <c r="Q220" s="265">
        <v>0</v>
      </c>
      <c r="R220" s="265">
        <v>0</v>
      </c>
      <c r="S220" s="265">
        <v>0</v>
      </c>
      <c r="T220" s="265">
        <v>0</v>
      </c>
      <c r="U220" s="265">
        <v>0</v>
      </c>
      <c r="V220" s="265">
        <v>0</v>
      </c>
      <c r="W220" s="265">
        <v>0</v>
      </c>
    </row>
    <row r="221" spans="10:23">
      <c r="J221" s="254">
        <v>2019</v>
      </c>
      <c r="K221" s="254">
        <v>3680</v>
      </c>
      <c r="L221" s="255" t="s">
        <v>252</v>
      </c>
      <c r="M221" s="254">
        <v>410</v>
      </c>
      <c r="N221" s="254">
        <v>427</v>
      </c>
      <c r="O221" s="367" t="s">
        <v>531</v>
      </c>
      <c r="P221" s="367" t="s">
        <v>526</v>
      </c>
      <c r="Q221" s="265">
        <v>304000</v>
      </c>
      <c r="R221" s="265">
        <v>129000</v>
      </c>
      <c r="S221" s="265">
        <v>12000</v>
      </c>
      <c r="T221" s="265">
        <v>2000</v>
      </c>
      <c r="U221" s="265">
        <v>447000</v>
      </c>
      <c r="V221" s="265">
        <v>0</v>
      </c>
      <c r="W221" s="265">
        <v>447000</v>
      </c>
    </row>
    <row r="222" spans="10:23">
      <c r="J222" s="254">
        <v>2019</v>
      </c>
      <c r="K222" s="254">
        <v>3680</v>
      </c>
      <c r="L222" s="255" t="s">
        <v>252</v>
      </c>
      <c r="M222" s="254">
        <v>410</v>
      </c>
      <c r="N222" s="254">
        <v>428</v>
      </c>
      <c r="O222" s="367" t="s">
        <v>531</v>
      </c>
      <c r="P222" s="367" t="s">
        <v>536</v>
      </c>
      <c r="Q222" s="265">
        <v>0</v>
      </c>
      <c r="R222" s="265">
        <v>0</v>
      </c>
      <c r="S222" s="265">
        <v>0</v>
      </c>
      <c r="T222" s="265">
        <v>0</v>
      </c>
      <c r="U222" s="265">
        <v>0</v>
      </c>
      <c r="V222" s="265">
        <v>0</v>
      </c>
      <c r="W222" s="265">
        <v>0</v>
      </c>
    </row>
    <row r="223" spans="10:23">
      <c r="J223" s="254">
        <v>2019</v>
      </c>
      <c r="K223" s="254">
        <v>3680</v>
      </c>
      <c r="L223" s="255" t="s">
        <v>252</v>
      </c>
      <c r="M223" s="254">
        <v>410</v>
      </c>
      <c r="N223" s="254">
        <v>429</v>
      </c>
      <c r="O223" s="367" t="s">
        <v>531</v>
      </c>
      <c r="P223" s="367" t="s">
        <v>528</v>
      </c>
      <c r="Q223" s="265">
        <v>0</v>
      </c>
      <c r="R223" s="265">
        <v>0</v>
      </c>
      <c r="S223" s="265">
        <v>0</v>
      </c>
      <c r="T223" s="265">
        <v>0</v>
      </c>
      <c r="U223" s="265">
        <v>0</v>
      </c>
      <c r="V223" s="265">
        <v>0</v>
      </c>
      <c r="W223" s="265">
        <v>0</v>
      </c>
    </row>
    <row r="224" spans="10:23">
      <c r="J224" s="254">
        <v>2019</v>
      </c>
      <c r="K224" s="254">
        <v>3680</v>
      </c>
      <c r="L224" s="255" t="s">
        <v>252</v>
      </c>
      <c r="M224" s="254">
        <v>410</v>
      </c>
      <c r="N224" s="254">
        <v>430</v>
      </c>
      <c r="O224" s="367" t="s">
        <v>531</v>
      </c>
      <c r="P224" s="367" t="s">
        <v>200</v>
      </c>
      <c r="Q224" s="265">
        <v>0</v>
      </c>
      <c r="R224" s="265">
        <v>0</v>
      </c>
      <c r="S224" s="265">
        <v>0</v>
      </c>
      <c r="T224" s="265">
        <v>8546000</v>
      </c>
      <c r="U224" s="265">
        <v>8546000</v>
      </c>
      <c r="V224" s="265">
        <v>0</v>
      </c>
      <c r="W224" s="265">
        <v>8546000</v>
      </c>
    </row>
    <row r="225" spans="10:23">
      <c r="J225" s="254">
        <v>2019</v>
      </c>
      <c r="K225" s="254">
        <v>3680</v>
      </c>
      <c r="L225" s="255" t="s">
        <v>252</v>
      </c>
      <c r="M225" s="254">
        <v>410</v>
      </c>
      <c r="N225" s="254">
        <v>431</v>
      </c>
      <c r="O225" s="367" t="s">
        <v>531</v>
      </c>
      <c r="P225" s="367" t="s">
        <v>201</v>
      </c>
      <c r="Q225" s="265">
        <v>0</v>
      </c>
      <c r="R225" s="265">
        <v>0</v>
      </c>
      <c r="S225" s="265">
        <v>0</v>
      </c>
      <c r="T225" s="265">
        <v>323000</v>
      </c>
      <c r="U225" s="265">
        <v>323000</v>
      </c>
      <c r="V225" s="265">
        <v>0</v>
      </c>
      <c r="W225" s="265">
        <v>323000</v>
      </c>
    </row>
    <row r="226" spans="10:23">
      <c r="J226" s="254">
        <v>2019</v>
      </c>
      <c r="K226" s="254">
        <v>3680</v>
      </c>
      <c r="L226" s="255" t="s">
        <v>252</v>
      </c>
      <c r="M226" s="254">
        <v>410</v>
      </c>
      <c r="N226" s="254">
        <v>432</v>
      </c>
      <c r="O226" s="367" t="s">
        <v>531</v>
      </c>
      <c r="P226" s="367" t="s">
        <v>152</v>
      </c>
      <c r="Q226" s="265">
        <v>0</v>
      </c>
      <c r="R226" s="265">
        <v>0</v>
      </c>
      <c r="S226" s="265">
        <v>3131000</v>
      </c>
      <c r="T226" s="265">
        <v>0</v>
      </c>
      <c r="U226" s="265">
        <v>3131000</v>
      </c>
      <c r="V226" s="265">
        <v>0</v>
      </c>
      <c r="W226" s="265">
        <v>3131000</v>
      </c>
    </row>
    <row r="227" spans="10:23">
      <c r="J227" s="254">
        <v>2019</v>
      </c>
      <c r="K227" s="254">
        <v>3680</v>
      </c>
      <c r="L227" s="255" t="s">
        <v>252</v>
      </c>
      <c r="M227" s="254">
        <v>410</v>
      </c>
      <c r="N227" s="254">
        <v>433</v>
      </c>
      <c r="O227" s="367" t="s">
        <v>531</v>
      </c>
      <c r="P227" s="367" t="s">
        <v>153</v>
      </c>
      <c r="Q227" s="265">
        <v>0</v>
      </c>
      <c r="R227" s="265">
        <v>0</v>
      </c>
      <c r="S227" s="265">
        <v>-942000</v>
      </c>
      <c r="T227" s="265">
        <v>0</v>
      </c>
      <c r="U227" s="265">
        <v>-942000</v>
      </c>
      <c r="V227" s="265">
        <v>0</v>
      </c>
      <c r="W227" s="265">
        <v>-942000</v>
      </c>
    </row>
    <row r="228" spans="10:23">
      <c r="J228" s="254">
        <v>2019</v>
      </c>
      <c r="K228" s="254">
        <v>3680</v>
      </c>
      <c r="L228" s="255" t="s">
        <v>252</v>
      </c>
      <c r="M228" s="254">
        <v>410</v>
      </c>
      <c r="N228" s="254">
        <v>434</v>
      </c>
      <c r="O228" s="367" t="s">
        <v>531</v>
      </c>
      <c r="P228" s="367" t="s">
        <v>158</v>
      </c>
      <c r="Q228" s="265">
        <v>0</v>
      </c>
      <c r="R228" s="265">
        <v>0</v>
      </c>
      <c r="S228" s="265">
        <v>0</v>
      </c>
      <c r="T228" s="265">
        <v>0</v>
      </c>
      <c r="U228" s="265">
        <v>0</v>
      </c>
      <c r="V228" s="265">
        <v>0</v>
      </c>
      <c r="W228" s="265">
        <v>0</v>
      </c>
    </row>
    <row r="229" spans="10:23">
      <c r="J229" s="254">
        <v>2019</v>
      </c>
      <c r="K229" s="254">
        <v>3680</v>
      </c>
      <c r="L229" s="255" t="s">
        <v>252</v>
      </c>
      <c r="M229" s="254">
        <v>410</v>
      </c>
      <c r="N229" s="254">
        <v>435</v>
      </c>
      <c r="O229" s="367" t="s">
        <v>531</v>
      </c>
      <c r="P229" s="367" t="s">
        <v>537</v>
      </c>
      <c r="Q229" s="265">
        <v>25108000</v>
      </c>
      <c r="R229" s="265">
        <v>3317000</v>
      </c>
      <c r="S229" s="265">
        <v>8801000</v>
      </c>
      <c r="T229" s="265">
        <v>9101000</v>
      </c>
      <c r="U229" s="265">
        <v>46327000</v>
      </c>
      <c r="V229" s="265">
        <v>0</v>
      </c>
      <c r="W229" s="265">
        <v>46327000</v>
      </c>
    </row>
    <row r="230" spans="10:23">
      <c r="J230" s="368">
        <v>2019</v>
      </c>
      <c r="K230" s="369">
        <v>3740</v>
      </c>
      <c r="L230" s="370" t="s">
        <v>244</v>
      </c>
      <c r="M230" s="369">
        <v>410</v>
      </c>
      <c r="N230" s="369">
        <v>401</v>
      </c>
      <c r="O230" s="371" t="s">
        <v>516</v>
      </c>
      <c r="P230" s="371" t="s">
        <v>203</v>
      </c>
      <c r="Q230" s="372">
        <v>31310000</v>
      </c>
      <c r="R230" s="372">
        <v>3828000</v>
      </c>
      <c r="S230" s="372">
        <v>1710000</v>
      </c>
      <c r="T230" s="373">
        <v>1251000</v>
      </c>
      <c r="U230" s="372">
        <v>38099000</v>
      </c>
      <c r="V230" s="372">
        <v>5198000</v>
      </c>
      <c r="W230" s="372">
        <v>43297000</v>
      </c>
    </row>
    <row r="231" spans="10:23">
      <c r="J231" s="374">
        <v>2019</v>
      </c>
      <c r="K231" s="375">
        <v>3740</v>
      </c>
      <c r="L231" s="376" t="s">
        <v>244</v>
      </c>
      <c r="M231" s="375">
        <v>410</v>
      </c>
      <c r="N231" s="375">
        <v>402</v>
      </c>
      <c r="O231" s="377" t="s">
        <v>516</v>
      </c>
      <c r="P231" s="377" t="s">
        <v>517</v>
      </c>
      <c r="Q231" s="373">
        <v>653918000</v>
      </c>
      <c r="R231" s="373">
        <v>4621000</v>
      </c>
      <c r="S231" s="373">
        <v>4342000</v>
      </c>
      <c r="T231" s="373">
        <v>113938000</v>
      </c>
      <c r="U231" s="373">
        <v>776819000</v>
      </c>
      <c r="V231" s="373">
        <v>9493000</v>
      </c>
      <c r="W231" s="373">
        <v>786312000</v>
      </c>
    </row>
    <row r="232" spans="10:23">
      <c r="J232" s="374">
        <v>2019</v>
      </c>
      <c r="K232" s="375">
        <v>3740</v>
      </c>
      <c r="L232" s="376" t="s">
        <v>244</v>
      </c>
      <c r="M232" s="375">
        <v>410</v>
      </c>
      <c r="N232" s="375">
        <v>403</v>
      </c>
      <c r="O232" s="377" t="s">
        <v>516</v>
      </c>
      <c r="P232" s="377" t="s">
        <v>518</v>
      </c>
      <c r="Q232" s="373">
        <v>559279000</v>
      </c>
      <c r="R232" s="373">
        <v>26000</v>
      </c>
      <c r="S232" s="373">
        <v>0</v>
      </c>
      <c r="T232" s="373">
        <v>90000</v>
      </c>
      <c r="U232" s="373">
        <v>559395000</v>
      </c>
      <c r="V232" s="373">
        <v>27897000</v>
      </c>
      <c r="W232" s="373">
        <v>587292000</v>
      </c>
    </row>
    <row r="233" spans="10:23">
      <c r="J233" s="374">
        <v>2019</v>
      </c>
      <c r="K233" s="375">
        <v>3740</v>
      </c>
      <c r="L233" s="376" t="s">
        <v>244</v>
      </c>
      <c r="M233" s="375">
        <v>410</v>
      </c>
      <c r="N233" s="375">
        <v>404</v>
      </c>
      <c r="O233" s="377" t="s">
        <v>516</v>
      </c>
      <c r="P233" s="377" t="s">
        <v>519</v>
      </c>
      <c r="Q233" s="373">
        <v>58241000</v>
      </c>
      <c r="R233" s="373">
        <v>18000</v>
      </c>
      <c r="S233" s="373">
        <v>379000</v>
      </c>
      <c r="T233" s="373">
        <v>336000</v>
      </c>
      <c r="U233" s="373">
        <v>58974000</v>
      </c>
      <c r="V233" s="373">
        <v>685000</v>
      </c>
      <c r="W233" s="373">
        <v>59659000</v>
      </c>
    </row>
    <row r="234" spans="10:23">
      <c r="J234" s="374">
        <v>2019</v>
      </c>
      <c r="K234" s="375">
        <v>3740</v>
      </c>
      <c r="L234" s="376" t="s">
        <v>244</v>
      </c>
      <c r="M234" s="375">
        <v>410</v>
      </c>
      <c r="N234" s="375">
        <v>405</v>
      </c>
      <c r="O234" s="377" t="s">
        <v>516</v>
      </c>
      <c r="P234" s="377" t="s">
        <v>520</v>
      </c>
      <c r="Q234" s="373">
        <v>69000</v>
      </c>
      <c r="R234" s="373">
        <v>0</v>
      </c>
      <c r="S234" s="373">
        <v>6335000</v>
      </c>
      <c r="T234" s="373">
        <v>0</v>
      </c>
      <c r="U234" s="373">
        <v>6404000</v>
      </c>
      <c r="V234" s="373">
        <v>342000</v>
      </c>
      <c r="W234" s="373">
        <v>6746000</v>
      </c>
    </row>
    <row r="235" spans="10:23">
      <c r="J235" s="374">
        <v>2019</v>
      </c>
      <c r="K235" s="375">
        <v>3740</v>
      </c>
      <c r="L235" s="376" t="s">
        <v>244</v>
      </c>
      <c r="M235" s="375">
        <v>410</v>
      </c>
      <c r="N235" s="375">
        <v>406</v>
      </c>
      <c r="O235" s="377" t="s">
        <v>516</v>
      </c>
      <c r="P235" s="377" t="s">
        <v>521</v>
      </c>
      <c r="Q235" s="373">
        <v>0</v>
      </c>
      <c r="R235" s="373">
        <v>0</v>
      </c>
      <c r="S235" s="373">
        <v>0</v>
      </c>
      <c r="T235" s="373">
        <v>0</v>
      </c>
      <c r="U235" s="373">
        <v>0</v>
      </c>
      <c r="V235" s="373">
        <v>0</v>
      </c>
      <c r="W235" s="373">
        <v>0</v>
      </c>
    </row>
    <row r="236" spans="10:23">
      <c r="J236" s="374">
        <v>2019</v>
      </c>
      <c r="K236" s="375">
        <v>3740</v>
      </c>
      <c r="L236" s="376" t="s">
        <v>244</v>
      </c>
      <c r="M236" s="375">
        <v>410</v>
      </c>
      <c r="N236" s="375">
        <v>407</v>
      </c>
      <c r="O236" s="377" t="s">
        <v>516</v>
      </c>
      <c r="P236" s="377" t="s">
        <v>522</v>
      </c>
      <c r="Q236" s="373">
        <v>0</v>
      </c>
      <c r="R236" s="373">
        <v>0</v>
      </c>
      <c r="S236" s="373">
        <v>2876000</v>
      </c>
      <c r="T236" s="373">
        <v>0</v>
      </c>
      <c r="U236" s="373">
        <v>2876000</v>
      </c>
      <c r="V236" s="373">
        <v>0</v>
      </c>
      <c r="W236" s="373">
        <v>2876000</v>
      </c>
    </row>
    <row r="237" spans="10:23">
      <c r="J237" s="374">
        <v>2019</v>
      </c>
      <c r="K237" s="375">
        <v>3740</v>
      </c>
      <c r="L237" s="376" t="s">
        <v>244</v>
      </c>
      <c r="M237" s="375">
        <v>410</v>
      </c>
      <c r="N237" s="375">
        <v>408</v>
      </c>
      <c r="O237" s="377" t="s">
        <v>516</v>
      </c>
      <c r="P237" s="377" t="s">
        <v>523</v>
      </c>
      <c r="Q237" s="373">
        <v>63897000</v>
      </c>
      <c r="R237" s="373">
        <v>19363000</v>
      </c>
      <c r="S237" s="373">
        <v>2996000</v>
      </c>
      <c r="T237" s="373">
        <v>4025000</v>
      </c>
      <c r="U237" s="373">
        <v>90281000</v>
      </c>
      <c r="V237" s="373">
        <v>189000</v>
      </c>
      <c r="W237" s="373">
        <v>90470000</v>
      </c>
    </row>
    <row r="238" spans="10:23">
      <c r="J238" s="374">
        <v>2019</v>
      </c>
      <c r="K238" s="375">
        <v>3740</v>
      </c>
      <c r="L238" s="376" t="s">
        <v>244</v>
      </c>
      <c r="M238" s="375">
        <v>410</v>
      </c>
      <c r="N238" s="375">
        <v>409</v>
      </c>
      <c r="O238" s="377" t="s">
        <v>516</v>
      </c>
      <c r="P238" s="377" t="s">
        <v>524</v>
      </c>
      <c r="Q238" s="373">
        <v>0</v>
      </c>
      <c r="R238" s="373">
        <v>1769008000</v>
      </c>
      <c r="S238" s="373">
        <v>0</v>
      </c>
      <c r="T238" s="373">
        <v>0</v>
      </c>
      <c r="U238" s="373">
        <v>1769008000</v>
      </c>
      <c r="V238" s="373">
        <v>25095000</v>
      </c>
      <c r="W238" s="373">
        <v>1794103000</v>
      </c>
    </row>
    <row r="239" spans="10:23">
      <c r="J239" s="374">
        <v>2019</v>
      </c>
      <c r="K239" s="375">
        <v>3740</v>
      </c>
      <c r="L239" s="376" t="s">
        <v>244</v>
      </c>
      <c r="M239" s="375">
        <v>410</v>
      </c>
      <c r="N239" s="375">
        <v>410</v>
      </c>
      <c r="O239" s="377" t="s">
        <v>516</v>
      </c>
      <c r="P239" s="377" t="s">
        <v>525</v>
      </c>
      <c r="Q239" s="373">
        <v>0</v>
      </c>
      <c r="R239" s="373">
        <v>0</v>
      </c>
      <c r="S239" s="373">
        <v>0</v>
      </c>
      <c r="T239" s="373">
        <v>0</v>
      </c>
      <c r="U239" s="373">
        <v>0</v>
      </c>
      <c r="V239" s="373">
        <v>0</v>
      </c>
      <c r="W239" s="373">
        <v>0</v>
      </c>
    </row>
    <row r="240" spans="10:23">
      <c r="J240" s="374">
        <v>2019</v>
      </c>
      <c r="K240" s="375">
        <v>3740</v>
      </c>
      <c r="L240" s="376" t="s">
        <v>244</v>
      </c>
      <c r="M240" s="375">
        <v>410</v>
      </c>
      <c r="N240" s="375">
        <v>411</v>
      </c>
      <c r="O240" s="377" t="s">
        <v>516</v>
      </c>
      <c r="P240" s="377" t="s">
        <v>526</v>
      </c>
      <c r="Q240" s="373">
        <v>72551000</v>
      </c>
      <c r="R240" s="373">
        <v>2313000</v>
      </c>
      <c r="S240" s="373">
        <v>8415000</v>
      </c>
      <c r="T240" s="373">
        <v>0</v>
      </c>
      <c r="U240" s="373">
        <v>83279000</v>
      </c>
      <c r="V240" s="373">
        <v>3497000</v>
      </c>
      <c r="W240" s="373">
        <v>86776000</v>
      </c>
    </row>
    <row r="241" spans="10:23">
      <c r="J241" s="374">
        <v>2019</v>
      </c>
      <c r="K241" s="375">
        <v>3740</v>
      </c>
      <c r="L241" s="376" t="s">
        <v>244</v>
      </c>
      <c r="M241" s="375">
        <v>410</v>
      </c>
      <c r="N241" s="375">
        <v>412</v>
      </c>
      <c r="O241" s="377" t="s">
        <v>516</v>
      </c>
      <c r="P241" s="377" t="s">
        <v>527</v>
      </c>
      <c r="Q241" s="373">
        <v>0</v>
      </c>
      <c r="R241" s="373">
        <v>0</v>
      </c>
      <c r="S241" s="373">
        <v>0</v>
      </c>
      <c r="T241" s="373">
        <v>0</v>
      </c>
      <c r="U241" s="373">
        <v>0</v>
      </c>
      <c r="V241" s="373">
        <v>0</v>
      </c>
      <c r="W241" s="373">
        <v>0</v>
      </c>
    </row>
    <row r="242" spans="10:23">
      <c r="J242" s="374">
        <v>2019</v>
      </c>
      <c r="K242" s="375">
        <v>3740</v>
      </c>
      <c r="L242" s="376" t="s">
        <v>244</v>
      </c>
      <c r="M242" s="375">
        <v>410</v>
      </c>
      <c r="N242" s="375">
        <v>413</v>
      </c>
      <c r="O242" s="377" t="s">
        <v>516</v>
      </c>
      <c r="P242" s="377" t="s">
        <v>528</v>
      </c>
      <c r="Q242" s="373">
        <v>207000</v>
      </c>
      <c r="R242" s="373">
        <v>113000</v>
      </c>
      <c r="S242" s="373">
        <v>42803000</v>
      </c>
      <c r="T242" s="373">
        <v>0</v>
      </c>
      <c r="U242" s="373">
        <v>43123000</v>
      </c>
      <c r="V242" s="373">
        <v>0</v>
      </c>
      <c r="W242" s="373">
        <v>43123000</v>
      </c>
    </row>
    <row r="243" spans="10:23">
      <c r="J243" s="374">
        <v>2019</v>
      </c>
      <c r="K243" s="375">
        <v>3740</v>
      </c>
      <c r="L243" s="376" t="s">
        <v>244</v>
      </c>
      <c r="M243" s="375">
        <v>410</v>
      </c>
      <c r="N243" s="375">
        <v>414</v>
      </c>
      <c r="O243" s="377" t="s">
        <v>516</v>
      </c>
      <c r="P243" s="377" t="s">
        <v>200</v>
      </c>
      <c r="Q243" s="373">
        <v>0</v>
      </c>
      <c r="R243" s="373">
        <v>0</v>
      </c>
      <c r="S243" s="373">
        <v>0</v>
      </c>
      <c r="T243" s="373">
        <v>623751000</v>
      </c>
      <c r="U243" s="373">
        <v>623751000</v>
      </c>
      <c r="V243" s="373">
        <v>17151000</v>
      </c>
      <c r="W243" s="373">
        <v>640902000</v>
      </c>
    </row>
    <row r="244" spans="10:23">
      <c r="J244" s="374">
        <v>2019</v>
      </c>
      <c r="K244" s="375">
        <v>3740</v>
      </c>
      <c r="L244" s="376" t="s">
        <v>244</v>
      </c>
      <c r="M244" s="375">
        <v>410</v>
      </c>
      <c r="N244" s="375">
        <v>415</v>
      </c>
      <c r="O244" s="377" t="s">
        <v>516</v>
      </c>
      <c r="P244" s="377" t="s">
        <v>201</v>
      </c>
      <c r="Q244" s="373">
        <v>0</v>
      </c>
      <c r="R244" s="373">
        <v>0</v>
      </c>
      <c r="S244" s="373">
        <v>0</v>
      </c>
      <c r="T244" s="373">
        <v>22797000</v>
      </c>
      <c r="U244" s="373">
        <v>22797000</v>
      </c>
      <c r="V244" s="373">
        <v>2116000</v>
      </c>
      <c r="W244" s="373">
        <v>24913000</v>
      </c>
    </row>
    <row r="245" spans="10:23">
      <c r="J245" s="374">
        <v>2019</v>
      </c>
      <c r="K245" s="375">
        <v>3740</v>
      </c>
      <c r="L245" s="376" t="s">
        <v>244</v>
      </c>
      <c r="M245" s="375">
        <v>410</v>
      </c>
      <c r="N245" s="375">
        <v>416</v>
      </c>
      <c r="O245" s="377" t="s">
        <v>516</v>
      </c>
      <c r="P245" s="377" t="s">
        <v>529</v>
      </c>
      <c r="Q245" s="373">
        <v>0</v>
      </c>
      <c r="R245" s="373">
        <v>0</v>
      </c>
      <c r="S245" s="373">
        <v>121776000</v>
      </c>
      <c r="T245" s="373">
        <v>0</v>
      </c>
      <c r="U245" s="373">
        <v>121776000</v>
      </c>
      <c r="V245" s="373">
        <v>0</v>
      </c>
      <c r="W245" s="373">
        <v>121776000</v>
      </c>
    </row>
    <row r="246" spans="10:23">
      <c r="J246" s="374">
        <v>2019</v>
      </c>
      <c r="K246" s="375">
        <v>3740</v>
      </c>
      <c r="L246" s="376" t="s">
        <v>244</v>
      </c>
      <c r="M246" s="375">
        <v>410</v>
      </c>
      <c r="N246" s="375">
        <v>417</v>
      </c>
      <c r="O246" s="377" t="s">
        <v>516</v>
      </c>
      <c r="P246" s="377" t="s">
        <v>153</v>
      </c>
      <c r="Q246" s="373">
        <v>0</v>
      </c>
      <c r="R246" s="373">
        <v>0</v>
      </c>
      <c r="S246" s="373">
        <v>-165107000</v>
      </c>
      <c r="T246" s="373">
        <v>0</v>
      </c>
      <c r="U246" s="373">
        <v>-165107000</v>
      </c>
      <c r="V246" s="373">
        <v>0</v>
      </c>
      <c r="W246" s="373">
        <v>-165107000</v>
      </c>
    </row>
    <row r="247" spans="10:23">
      <c r="J247" s="374">
        <v>2019</v>
      </c>
      <c r="K247" s="375">
        <v>3740</v>
      </c>
      <c r="L247" s="376" t="s">
        <v>244</v>
      </c>
      <c r="M247" s="375">
        <v>410</v>
      </c>
      <c r="N247" s="375">
        <v>418</v>
      </c>
      <c r="O247" s="377" t="s">
        <v>516</v>
      </c>
      <c r="P247" s="377" t="s">
        <v>158</v>
      </c>
      <c r="Q247" s="373">
        <v>39343000</v>
      </c>
      <c r="R247" s="373">
        <v>428000</v>
      </c>
      <c r="S247" s="373">
        <v>310469000</v>
      </c>
      <c r="T247" s="373">
        <v>3945000</v>
      </c>
      <c r="U247" s="373">
        <v>354185000</v>
      </c>
      <c r="V247" s="373">
        <v>528000</v>
      </c>
      <c r="W247" s="373">
        <v>354713000</v>
      </c>
    </row>
    <row r="248" spans="10:23">
      <c r="J248" s="374">
        <v>2019</v>
      </c>
      <c r="K248" s="375">
        <v>3740</v>
      </c>
      <c r="L248" s="376" t="s">
        <v>244</v>
      </c>
      <c r="M248" s="375">
        <v>410</v>
      </c>
      <c r="N248" s="375">
        <v>419</v>
      </c>
      <c r="O248" s="377" t="s">
        <v>516</v>
      </c>
      <c r="P248" s="377" t="s">
        <v>530</v>
      </c>
      <c r="Q248" s="373">
        <v>1478815000</v>
      </c>
      <c r="R248" s="373">
        <v>1799718000</v>
      </c>
      <c r="S248" s="373">
        <v>336994000</v>
      </c>
      <c r="T248" s="373">
        <v>770133000</v>
      </c>
      <c r="U248" s="373">
        <v>4385660000</v>
      </c>
      <c r="V248" s="373">
        <v>92191000</v>
      </c>
      <c r="W248" s="373">
        <v>4477851000</v>
      </c>
    </row>
    <row r="249" spans="10:23">
      <c r="J249" s="374">
        <v>2019</v>
      </c>
      <c r="K249" s="375">
        <v>3740</v>
      </c>
      <c r="L249" s="376" t="s">
        <v>244</v>
      </c>
      <c r="M249" s="375">
        <v>410</v>
      </c>
      <c r="N249" s="375">
        <v>420</v>
      </c>
      <c r="O249" s="377" t="s">
        <v>531</v>
      </c>
      <c r="P249" s="377" t="s">
        <v>203</v>
      </c>
      <c r="Q249" s="373">
        <v>4423000</v>
      </c>
      <c r="R249" s="373">
        <v>470000</v>
      </c>
      <c r="S249" s="373">
        <v>9947000</v>
      </c>
      <c r="T249" s="373">
        <v>110000</v>
      </c>
      <c r="U249" s="373">
        <v>14950000</v>
      </c>
      <c r="V249" s="373">
        <v>15000</v>
      </c>
      <c r="W249" s="373">
        <v>14965000</v>
      </c>
    </row>
    <row r="250" spans="10:23">
      <c r="J250" s="374">
        <v>2019</v>
      </c>
      <c r="K250" s="375">
        <v>3740</v>
      </c>
      <c r="L250" s="376" t="s">
        <v>244</v>
      </c>
      <c r="M250" s="375">
        <v>410</v>
      </c>
      <c r="N250" s="375">
        <v>421</v>
      </c>
      <c r="O250" s="377" t="s">
        <v>531</v>
      </c>
      <c r="P250" s="377" t="s">
        <v>532</v>
      </c>
      <c r="Q250" s="373">
        <v>242916000</v>
      </c>
      <c r="R250" s="373">
        <v>5659000</v>
      </c>
      <c r="S250" s="373">
        <v>4561000</v>
      </c>
      <c r="T250" s="373">
        <v>60087000</v>
      </c>
      <c r="U250" s="373">
        <v>313223000</v>
      </c>
      <c r="V250" s="373">
        <v>2099000</v>
      </c>
      <c r="W250" s="373">
        <v>315322000</v>
      </c>
    </row>
    <row r="251" spans="10:23">
      <c r="J251" s="374">
        <v>2019</v>
      </c>
      <c r="K251" s="375">
        <v>3740</v>
      </c>
      <c r="L251" s="376" t="s">
        <v>244</v>
      </c>
      <c r="M251" s="375">
        <v>410</v>
      </c>
      <c r="N251" s="375">
        <v>422</v>
      </c>
      <c r="O251" s="377" t="s">
        <v>531</v>
      </c>
      <c r="P251" s="377" t="s">
        <v>533</v>
      </c>
      <c r="Q251" s="373">
        <v>40883000</v>
      </c>
      <c r="R251" s="373">
        <v>0</v>
      </c>
      <c r="S251" s="373">
        <v>0</v>
      </c>
      <c r="T251" s="373">
        <v>0</v>
      </c>
      <c r="U251" s="373">
        <v>40883000</v>
      </c>
      <c r="V251" s="373">
        <v>924000</v>
      </c>
      <c r="W251" s="373">
        <v>41807000</v>
      </c>
    </row>
    <row r="252" spans="10:23">
      <c r="J252" s="374">
        <v>2019</v>
      </c>
      <c r="K252" s="375">
        <v>3740</v>
      </c>
      <c r="L252" s="376" t="s">
        <v>244</v>
      </c>
      <c r="M252" s="375">
        <v>410</v>
      </c>
      <c r="N252" s="375">
        <v>423</v>
      </c>
      <c r="O252" s="377" t="s">
        <v>531</v>
      </c>
      <c r="P252" s="377" t="s">
        <v>534</v>
      </c>
      <c r="Q252" s="373">
        <v>6736000</v>
      </c>
      <c r="R252" s="373">
        <v>225000</v>
      </c>
      <c r="S252" s="373">
        <v>0</v>
      </c>
      <c r="T252" s="373">
        <v>32000</v>
      </c>
      <c r="U252" s="373">
        <v>6993000</v>
      </c>
      <c r="V252" s="373">
        <v>815000</v>
      </c>
      <c r="W252" s="373">
        <v>7808000</v>
      </c>
    </row>
    <row r="253" spans="10:23">
      <c r="J253" s="374">
        <v>2019</v>
      </c>
      <c r="K253" s="375">
        <v>3740</v>
      </c>
      <c r="L253" s="376" t="s">
        <v>244</v>
      </c>
      <c r="M253" s="375">
        <v>410</v>
      </c>
      <c r="N253" s="375">
        <v>424</v>
      </c>
      <c r="O253" s="377" t="s">
        <v>531</v>
      </c>
      <c r="P253" s="377" t="s">
        <v>535</v>
      </c>
      <c r="Q253" s="373">
        <v>141000</v>
      </c>
      <c r="R253" s="373">
        <v>2000</v>
      </c>
      <c r="S253" s="373">
        <v>5972000</v>
      </c>
      <c r="T253" s="373">
        <v>1000</v>
      </c>
      <c r="U253" s="373">
        <v>6116000</v>
      </c>
      <c r="V253" s="373">
        <v>168000</v>
      </c>
      <c r="W253" s="373">
        <v>6284000</v>
      </c>
    </row>
    <row r="254" spans="10:23">
      <c r="J254" s="374">
        <v>2019</v>
      </c>
      <c r="K254" s="375">
        <v>3740</v>
      </c>
      <c r="L254" s="376" t="s">
        <v>244</v>
      </c>
      <c r="M254" s="375">
        <v>410</v>
      </c>
      <c r="N254" s="375">
        <v>425</v>
      </c>
      <c r="O254" s="377" t="s">
        <v>531</v>
      </c>
      <c r="P254" s="377" t="s">
        <v>524</v>
      </c>
      <c r="Q254" s="373">
        <v>0</v>
      </c>
      <c r="R254" s="373">
        <v>254582000</v>
      </c>
      <c r="S254" s="373">
        <v>0</v>
      </c>
      <c r="T254" s="373">
        <v>0</v>
      </c>
      <c r="U254" s="373">
        <v>254582000</v>
      </c>
      <c r="V254" s="373">
        <v>0</v>
      </c>
      <c r="W254" s="373">
        <v>254582000</v>
      </c>
    </row>
    <row r="255" spans="10:23">
      <c r="J255" s="374">
        <v>2019</v>
      </c>
      <c r="K255" s="375">
        <v>3740</v>
      </c>
      <c r="L255" s="376" t="s">
        <v>244</v>
      </c>
      <c r="M255" s="375">
        <v>410</v>
      </c>
      <c r="N255" s="375">
        <v>426</v>
      </c>
      <c r="O255" s="377" t="s">
        <v>531</v>
      </c>
      <c r="P255" s="377" t="s">
        <v>525</v>
      </c>
      <c r="Q255" s="373">
        <v>0</v>
      </c>
      <c r="R255" s="373">
        <v>0</v>
      </c>
      <c r="S255" s="373">
        <v>0</v>
      </c>
      <c r="T255" s="373">
        <v>0</v>
      </c>
      <c r="U255" s="373">
        <v>0</v>
      </c>
      <c r="V255" s="373">
        <v>0</v>
      </c>
      <c r="W255" s="373">
        <v>0</v>
      </c>
    </row>
    <row r="256" spans="10:23">
      <c r="J256" s="374">
        <v>2019</v>
      </c>
      <c r="K256" s="375">
        <v>3740</v>
      </c>
      <c r="L256" s="376" t="s">
        <v>244</v>
      </c>
      <c r="M256" s="375">
        <v>410</v>
      </c>
      <c r="N256" s="375">
        <v>427</v>
      </c>
      <c r="O256" s="377" t="s">
        <v>531</v>
      </c>
      <c r="P256" s="377" t="s">
        <v>526</v>
      </c>
      <c r="Q256" s="373">
        <v>0</v>
      </c>
      <c r="R256" s="373">
        <v>0</v>
      </c>
      <c r="S256" s="373">
        <v>0</v>
      </c>
      <c r="T256" s="373">
        <v>0</v>
      </c>
      <c r="U256" s="373">
        <v>0</v>
      </c>
      <c r="V256" s="373">
        <v>0</v>
      </c>
      <c r="W256" s="373">
        <v>0</v>
      </c>
    </row>
    <row r="257" spans="10:23">
      <c r="J257" s="374">
        <v>2019</v>
      </c>
      <c r="K257" s="375">
        <v>3740</v>
      </c>
      <c r="L257" s="376" t="s">
        <v>244</v>
      </c>
      <c r="M257" s="375">
        <v>410</v>
      </c>
      <c r="N257" s="375">
        <v>428</v>
      </c>
      <c r="O257" s="377" t="s">
        <v>531</v>
      </c>
      <c r="P257" s="377" t="s">
        <v>536</v>
      </c>
      <c r="Q257" s="373">
        <v>0</v>
      </c>
      <c r="R257" s="373">
        <v>0</v>
      </c>
      <c r="S257" s="373">
        <v>0</v>
      </c>
      <c r="T257" s="373">
        <v>0</v>
      </c>
      <c r="U257" s="373">
        <v>0</v>
      </c>
      <c r="V257" s="373">
        <v>0</v>
      </c>
      <c r="W257" s="373">
        <v>0</v>
      </c>
    </row>
    <row r="258" spans="10:23">
      <c r="J258" s="374">
        <v>2019</v>
      </c>
      <c r="K258" s="375">
        <v>3740</v>
      </c>
      <c r="L258" s="376" t="s">
        <v>244</v>
      </c>
      <c r="M258" s="375">
        <v>410</v>
      </c>
      <c r="N258" s="375">
        <v>429</v>
      </c>
      <c r="O258" s="377" t="s">
        <v>531</v>
      </c>
      <c r="P258" s="377" t="s">
        <v>528</v>
      </c>
      <c r="Q258" s="373">
        <v>0</v>
      </c>
      <c r="R258" s="373">
        <v>0</v>
      </c>
      <c r="S258" s="373">
        <v>0</v>
      </c>
      <c r="T258" s="373">
        <v>0</v>
      </c>
      <c r="U258" s="373">
        <v>0</v>
      </c>
      <c r="V258" s="373">
        <v>0</v>
      </c>
      <c r="W258" s="373">
        <v>0</v>
      </c>
    </row>
    <row r="259" spans="10:23">
      <c r="J259" s="374">
        <v>2019</v>
      </c>
      <c r="K259" s="375">
        <v>3740</v>
      </c>
      <c r="L259" s="376" t="s">
        <v>244</v>
      </c>
      <c r="M259" s="375">
        <v>410</v>
      </c>
      <c r="N259" s="375">
        <v>430</v>
      </c>
      <c r="O259" s="377" t="s">
        <v>531</v>
      </c>
      <c r="P259" s="377" t="s">
        <v>200</v>
      </c>
      <c r="Q259" s="373">
        <v>0</v>
      </c>
      <c r="R259" s="373">
        <v>0</v>
      </c>
      <c r="S259" s="373">
        <v>0</v>
      </c>
      <c r="T259" s="373">
        <v>125075000</v>
      </c>
      <c r="U259" s="373">
        <v>125075000</v>
      </c>
      <c r="V259" s="373">
        <v>1602000</v>
      </c>
      <c r="W259" s="373">
        <v>126677000</v>
      </c>
    </row>
    <row r="260" spans="10:23">
      <c r="J260" s="374">
        <v>2019</v>
      </c>
      <c r="K260" s="375">
        <v>3740</v>
      </c>
      <c r="L260" s="376" t="s">
        <v>244</v>
      </c>
      <c r="M260" s="375">
        <v>410</v>
      </c>
      <c r="N260" s="375">
        <v>431</v>
      </c>
      <c r="O260" s="377" t="s">
        <v>531</v>
      </c>
      <c r="P260" s="377" t="s">
        <v>201</v>
      </c>
      <c r="Q260" s="373">
        <v>0</v>
      </c>
      <c r="R260" s="373">
        <v>0</v>
      </c>
      <c r="S260" s="373">
        <v>0</v>
      </c>
      <c r="T260" s="373">
        <v>5381000</v>
      </c>
      <c r="U260" s="373">
        <v>5381000</v>
      </c>
      <c r="V260" s="373">
        <v>0</v>
      </c>
      <c r="W260" s="373">
        <v>5381000</v>
      </c>
    </row>
    <row r="261" spans="10:23">
      <c r="J261" s="374">
        <v>2019</v>
      </c>
      <c r="K261" s="375">
        <v>3740</v>
      </c>
      <c r="L261" s="376" t="s">
        <v>244</v>
      </c>
      <c r="M261" s="375">
        <v>410</v>
      </c>
      <c r="N261" s="375">
        <v>432</v>
      </c>
      <c r="O261" s="377" t="s">
        <v>531</v>
      </c>
      <c r="P261" s="377" t="s">
        <v>152</v>
      </c>
      <c r="Q261" s="373">
        <v>0</v>
      </c>
      <c r="R261" s="373">
        <v>0</v>
      </c>
      <c r="S261" s="373">
        <v>52754000</v>
      </c>
      <c r="T261" s="373">
        <v>0</v>
      </c>
      <c r="U261" s="373">
        <v>52754000</v>
      </c>
      <c r="V261" s="373">
        <v>0</v>
      </c>
      <c r="W261" s="373">
        <v>52754000</v>
      </c>
    </row>
    <row r="262" spans="10:23">
      <c r="J262" s="374">
        <v>2019</v>
      </c>
      <c r="K262" s="375">
        <v>3740</v>
      </c>
      <c r="L262" s="376" t="s">
        <v>244</v>
      </c>
      <c r="M262" s="375">
        <v>410</v>
      </c>
      <c r="N262" s="375">
        <v>433</v>
      </c>
      <c r="O262" s="377" t="s">
        <v>531</v>
      </c>
      <c r="P262" s="377" t="s">
        <v>153</v>
      </c>
      <c r="Q262" s="373">
        <v>0</v>
      </c>
      <c r="R262" s="373">
        <v>0</v>
      </c>
      <c r="S262" s="373">
        <v>-3110000</v>
      </c>
      <c r="T262" s="373">
        <v>0</v>
      </c>
      <c r="U262" s="373">
        <v>-3110000</v>
      </c>
      <c r="V262" s="373">
        <v>0</v>
      </c>
      <c r="W262" s="373">
        <v>-3110000</v>
      </c>
    </row>
    <row r="263" spans="10:23">
      <c r="J263" s="374">
        <v>2019</v>
      </c>
      <c r="K263" s="375">
        <v>3740</v>
      </c>
      <c r="L263" s="376" t="s">
        <v>244</v>
      </c>
      <c r="M263" s="375">
        <v>410</v>
      </c>
      <c r="N263" s="375">
        <v>434</v>
      </c>
      <c r="O263" s="377" t="s">
        <v>531</v>
      </c>
      <c r="P263" s="377" t="s">
        <v>158</v>
      </c>
      <c r="Q263" s="373">
        <v>0</v>
      </c>
      <c r="R263" s="373">
        <v>0</v>
      </c>
      <c r="S263" s="373">
        <v>0</v>
      </c>
      <c r="T263" s="373">
        <v>0</v>
      </c>
      <c r="U263" s="373">
        <v>0</v>
      </c>
      <c r="V263" s="373">
        <v>0</v>
      </c>
      <c r="W263" s="373">
        <v>0</v>
      </c>
    </row>
    <row r="264" spans="10:23">
      <c r="J264" s="374">
        <v>2019</v>
      </c>
      <c r="K264" s="375">
        <v>3740</v>
      </c>
      <c r="L264" s="376" t="s">
        <v>244</v>
      </c>
      <c r="M264" s="375">
        <v>410</v>
      </c>
      <c r="N264" s="375">
        <v>435</v>
      </c>
      <c r="O264" s="377" t="s">
        <v>531</v>
      </c>
      <c r="P264" s="377" t="s">
        <v>537</v>
      </c>
      <c r="Q264" s="373">
        <v>295099000</v>
      </c>
      <c r="R264" s="373">
        <v>260938000</v>
      </c>
      <c r="S264" s="373">
        <v>70124000</v>
      </c>
      <c r="T264" s="373">
        <v>190686000</v>
      </c>
      <c r="U264" s="373">
        <v>816847000</v>
      </c>
      <c r="V264" s="373">
        <v>5623000</v>
      </c>
      <c r="W264" s="373">
        <v>822470000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499984740745262"/>
  </sheetPr>
  <dimension ref="A1:E13"/>
  <sheetViews>
    <sheetView showGridLines="0" topLeftCell="A4" workbookViewId="0">
      <selection activeCell="AB27" sqref="AB27"/>
    </sheetView>
  </sheetViews>
  <sheetFormatPr baseColWidth="10" defaultColWidth="11" defaultRowHeight="16"/>
  <sheetData>
    <row r="1" spans="1:5">
      <c r="A1" t="s">
        <v>26</v>
      </c>
      <c r="D1" t="s">
        <v>25</v>
      </c>
    </row>
    <row r="2" spans="1:5">
      <c r="A2" t="s">
        <v>7</v>
      </c>
      <c r="B2" t="s">
        <v>28</v>
      </c>
      <c r="C2" t="s">
        <v>15</v>
      </c>
      <c r="D2" t="s">
        <v>29</v>
      </c>
    </row>
    <row r="3" spans="1:5">
      <c r="D3" t="s">
        <v>30</v>
      </c>
    </row>
    <row r="4" spans="1:5">
      <c r="A4" t="s">
        <v>31</v>
      </c>
      <c r="B4">
        <v>1</v>
      </c>
      <c r="C4" s="29">
        <v>539</v>
      </c>
      <c r="D4">
        <v>6.17</v>
      </c>
      <c r="E4" s="31">
        <f>D4*C4</f>
        <v>3325.63</v>
      </c>
    </row>
    <row r="5" spans="1:5">
      <c r="A5" t="s">
        <v>31</v>
      </c>
      <c r="B5">
        <v>2</v>
      </c>
      <c r="C5" s="29">
        <v>686</v>
      </c>
      <c r="D5">
        <v>3.64</v>
      </c>
      <c r="E5" s="31">
        <f t="shared" ref="E5:E12" si="0">D5*C5</f>
        <v>2497.04</v>
      </c>
    </row>
    <row r="6" spans="1:5">
      <c r="A6" t="s">
        <v>31</v>
      </c>
      <c r="B6">
        <v>3</v>
      </c>
      <c r="C6" s="29">
        <v>438</v>
      </c>
      <c r="D6">
        <v>2.33</v>
      </c>
      <c r="E6" s="31">
        <f t="shared" si="0"/>
        <v>1020.5400000000001</v>
      </c>
    </row>
    <row r="7" spans="1:5">
      <c r="A7" t="s">
        <v>32</v>
      </c>
      <c r="B7">
        <v>1</v>
      </c>
      <c r="C7" s="29">
        <v>43</v>
      </c>
      <c r="D7">
        <v>8.2200000000000006</v>
      </c>
      <c r="E7" s="31">
        <f t="shared" si="0"/>
        <v>353.46000000000004</v>
      </c>
    </row>
    <row r="8" spans="1:5">
      <c r="A8" t="s">
        <v>32</v>
      </c>
      <c r="B8">
        <v>2</v>
      </c>
      <c r="C8" s="29">
        <v>8047</v>
      </c>
      <c r="D8">
        <v>4.8499999999999996</v>
      </c>
      <c r="E8" s="31">
        <f t="shared" si="0"/>
        <v>39027.949999999997</v>
      </c>
    </row>
    <row r="9" spans="1:5">
      <c r="A9" t="s">
        <v>32</v>
      </c>
      <c r="B9">
        <v>3</v>
      </c>
      <c r="C9" s="29">
        <v>0</v>
      </c>
      <c r="E9" s="31">
        <f t="shared" si="0"/>
        <v>0</v>
      </c>
    </row>
    <row r="10" spans="1:5">
      <c r="A10" t="s">
        <v>33</v>
      </c>
      <c r="B10">
        <v>1</v>
      </c>
      <c r="C10" s="29">
        <v>18</v>
      </c>
      <c r="D10">
        <v>8.2200000000000006</v>
      </c>
      <c r="E10" s="31">
        <f t="shared" si="0"/>
        <v>147.96</v>
      </c>
    </row>
    <row r="11" spans="1:5">
      <c r="A11" t="s">
        <v>33</v>
      </c>
      <c r="B11">
        <v>2</v>
      </c>
      <c r="C11" s="29">
        <v>2687</v>
      </c>
      <c r="D11">
        <v>4.8499999999999996</v>
      </c>
      <c r="E11" s="31">
        <f t="shared" si="0"/>
        <v>13031.949999999999</v>
      </c>
    </row>
    <row r="12" spans="1:5">
      <c r="A12" s="1" t="s">
        <v>33</v>
      </c>
      <c r="B12" s="1">
        <v>3</v>
      </c>
      <c r="C12" s="33">
        <v>13902</v>
      </c>
      <c r="D12" s="1">
        <v>3.83</v>
      </c>
      <c r="E12" s="34">
        <f t="shared" si="0"/>
        <v>53244.66</v>
      </c>
    </row>
    <row r="13" spans="1:5">
      <c r="A13" s="35" t="s">
        <v>69</v>
      </c>
      <c r="C13" s="30">
        <f>SUM(C4:C12)</f>
        <v>26360</v>
      </c>
      <c r="D13" s="32">
        <f>ROUND(E13/C13,1)</f>
        <v>4.3</v>
      </c>
      <c r="E13" s="31">
        <f>SUM(E4:E12)</f>
        <v>112649.19</v>
      </c>
    </row>
  </sheetData>
  <pageMargins left="0.75" right="0.75" top="1" bottom="1" header="0.5" footer="0.5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B1CF629A4D64687516B856EA288DC" ma:contentTypeVersion="18" ma:contentTypeDescription="Create a new document." ma:contentTypeScope="" ma:versionID="4aea9767bd408eb087d9e81f874a34a6">
  <xsd:schema xmlns:xsd="http://www.w3.org/2001/XMLSchema" xmlns:xs="http://www.w3.org/2001/XMLSchema" xmlns:p="http://schemas.microsoft.com/office/2006/metadata/properties" xmlns:ns1="http://schemas.microsoft.com/sharepoint/v3" xmlns:ns2="f310ada9-4477-4495-920e-bc27981ea867" xmlns:ns3="824f7506-ec71-44e7-a9c2-b19a484d436a" targetNamespace="http://schemas.microsoft.com/office/2006/metadata/properties" ma:root="true" ma:fieldsID="d7098d98c6c117327d115f4b04ec7d8f" ns1:_="" ns2:_="" ns3:_="">
    <xsd:import namespace="http://schemas.microsoft.com/sharepoint/v3"/>
    <xsd:import namespace="f310ada9-4477-4495-920e-bc27981ea867"/>
    <xsd:import namespace="824f7506-ec71-44e7-a9c2-b19a484d4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0ada9-4477-4495-920e-bc27981ea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f7506-ec71-44e7-a9c2-b19a484d43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d55d466-fc14-410a-860f-d0f1222dda29}" ma:internalName="TaxCatchAll" ma:showField="CatchAllData" ma:web="824f7506-ec71-44e7-a9c2-b19a484d4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4f7506-ec71-44e7-a9c2-b19a484d436a" xsi:nil="true"/>
    <_ip_UnifiedCompliancePolicyProperties xmlns="http://schemas.microsoft.com/sharepoint/v3" xsi:nil="true"/>
    <lcf76f155ced4ddcb4097134ff3c332f xmlns="f310ada9-4477-4495-920e-bc27981ea8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C2B3ED-E991-46D0-9795-17FE2F408CD1}"/>
</file>

<file path=customXml/itemProps2.xml><?xml version="1.0" encoding="utf-8"?>
<ds:datastoreItem xmlns:ds="http://schemas.openxmlformats.org/officeDocument/2006/customXml" ds:itemID="{57AFDC40-73C5-4B36-B0C4-F9F05F084718}"/>
</file>

<file path=customXml/itemProps3.xml><?xml version="1.0" encoding="utf-8"?>
<ds:datastoreItem xmlns:ds="http://schemas.openxmlformats.org/officeDocument/2006/customXml" ds:itemID="{25BFFC41-2A46-43F3-8962-C29D84C84F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AllTrainTypesTotal19</vt:lpstr>
      <vt:lpstr>Basic Train Data19</vt:lpstr>
      <vt:lpstr>Locomotives19</vt:lpstr>
      <vt:lpstr>FrtEquip19</vt:lpstr>
      <vt:lpstr>Crew19</vt:lpstr>
      <vt:lpstr>LocomotiveData</vt:lpstr>
      <vt:lpstr>FreightEquipData</vt:lpstr>
      <vt:lpstr>CrewData</vt:lpstr>
      <vt:lpstr>Avg Fuel Consumption</vt:lpstr>
      <vt:lpstr>AllTrainTypesTotal19!Print_Titles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Gray</dc:creator>
  <cp:lastModifiedBy>John Gray</cp:lastModifiedBy>
  <cp:lastPrinted>2021-03-25T16:00:18Z</cp:lastPrinted>
  <dcterms:created xsi:type="dcterms:W3CDTF">2012-07-22T15:08:32Z</dcterms:created>
  <dcterms:modified xsi:type="dcterms:W3CDTF">2021-09-20T20:42:57Z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0x0101008B4B1CF629A4D64687516B856EA288DC</vt:lpwstr>
  </property>
</Properties>
</file>